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2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ONCO'!$A$1:$I$41</definedName>
    <definedName name="_xlnm.Print_Area" localSheetId="10">'CV UNICE'!$A$1:$I$41</definedName>
  </definedNames>
  <calcPr fullCalcOnLoad="1"/>
</workbook>
</file>

<file path=xl/sharedStrings.xml><?xml version="1.0" encoding="utf-8"?>
<sst xmlns="http://schemas.openxmlformats.org/spreadsheetml/2006/main" count="506" uniqueCount="88">
  <si>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</si>
  <si>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</si>
  <si>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</si>
  <si>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</si>
  <si>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</si>
  <si>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</si>
  <si>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</si>
  <si>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</si>
  <si>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</si>
  <si>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</si>
  <si>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</si>
  <si>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</si>
  <si>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</si>
  <si>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</si>
  <si>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</si>
  <si>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</si>
  <si>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</si>
  <si>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</si>
  <si>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</si>
  <si>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</si>
  <si>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</si>
  <si>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</si>
  <si>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</si>
  <si>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</si>
  <si>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</si>
  <si>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</si>
  <si>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</si>
  <si>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</si>
  <si>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</si>
  <si>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</si>
  <si>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</si>
  <si>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</si>
  <si>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</si>
  <si>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</si>
  <si>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</si>
  <si>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</si>
  <si>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</si>
  <si>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</si>
  <si>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</si>
  <si>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</si>
  <si>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</si>
  <si>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</si>
  <si>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</si>
  <si>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</si>
  <si>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</si>
  <si>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KAMILLA PLUS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</si>
  <si>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</si>
  <si>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</si>
  <si>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</si>
  <si>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</si>
  <si>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</si>
  <si>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</si>
  <si>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</si>
  <si>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</si>
  <si>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</si>
  <si>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</si>
  <si>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</si>
  <si>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</si>
  <si>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</si>
  <si>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</si>
  <si>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</si>
  <si>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</si>
  <si>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IANUARIE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</si>
  <si>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</si>
  <si>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</si>
  <si>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</si>
  <si>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</si>
  <si>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</si>
  <si>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</si>
  <si>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</si>
  <si>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</si>
  <si>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</si>
  <si>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SITUATIA CONSUMULUI DE MEDICAMENTE IN LUNA  IUNIE 2020</t>
  </si>
  <si>
    <t>SITUATIA CONSUMULUI DE MEDICAMENTE PENTRU PENSIONARI PANA LA 1139 LEI IUNIE 2020</t>
  </si>
  <si>
    <t>SITUATIA CONSUMULUI DE MEDICAMENTE PENTRU DIABET   LUNA IUNIE 2020</t>
  </si>
  <si>
    <t>SITUATIA CONSUMULUI DE MEDICAMENTE PENTRU INSULINE LUNA IUNIE 2020</t>
  </si>
  <si>
    <t>SITUATIA CONSUMULUI DE MEDICAMENTE LA  DIABET SI INSULINE IUNIE 2020</t>
  </si>
  <si>
    <t>SITUATIA CONSUMULUI LA TESTE PENTRU LUNA IUNIE 2020</t>
  </si>
  <si>
    <t>SITUATIA CONSUMULUI DE MEDICAMENTE PENTRU PNS COST VOLUM   LUNA IUNIE 2020</t>
  </si>
  <si>
    <t>SITUATIA CONSUMULUI DE MEDICAMENTE PENTRU ONCOLOGIE  LUNA IUNIE 2020</t>
  </si>
  <si>
    <t>SITUATIA CONSUMULUI DE MEDICAMENTE LA STARI POSTTRANSPLANT IUNIE 2020</t>
  </si>
  <si>
    <t>SITUATIA CONSUMULUI DE MEDICAMENTE PENTRU SCLEROZA   LUNA IUNIE 2020</t>
  </si>
  <si>
    <t>SITUATIA CONSUMULUI DE MEDIC. PENTRU UNICE COST VOLUM   LUNA IUNIE 2020</t>
  </si>
  <si>
    <t>SITUATIA CONSUMULUI DE MEDICAMENTE LA STARI MUCOVISCIDOZA IUNIE 2020</t>
  </si>
  <si>
    <t>G3</t>
  </si>
  <si>
    <t>G1</t>
  </si>
  <si>
    <t>MED CV LISTA B</t>
  </si>
  <si>
    <t>TOTAL UNICE CV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</si>
</sst>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71"/>
  <sheetViews>
    <sheetView workbookViewId="0" topLeftCell="F1">
      <selection activeCell="T1" sqref="T1:V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9.140625" style="4" customWidth="1"/>
    <col min="21" max="21" width="11.7109375" style="4" bestFit="1" customWidth="1"/>
    <col min="22" max="56" width="9.140625" style="4" customWidth="1"/>
  </cols>
  <sheetData>
    <row r="3" spans="2:19" ht="15.75">
      <c r="B3" s="19" t="s">
        <v>72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46</v>
      </c>
      <c r="H4" s="53" t="s">
        <v>48</v>
      </c>
      <c r="I4" s="52" t="s">
        <v>49</v>
      </c>
      <c r="J4" s="52" t="s">
        <v>53</v>
      </c>
      <c r="K4" s="52" t="s">
        <v>50</v>
      </c>
      <c r="L4" s="52" t="s">
        <v>51</v>
      </c>
      <c r="M4" s="52" t="s">
        <v>56</v>
      </c>
      <c r="N4" s="52" t="s">
        <v>54</v>
      </c>
      <c r="O4" s="52" t="s">
        <v>52</v>
      </c>
      <c r="P4" s="52" t="s">
        <v>55</v>
      </c>
      <c r="Q4" s="52" t="s">
        <v>58</v>
      </c>
      <c r="R4" s="54" t="s">
        <v>43</v>
      </c>
      <c r="S4" s="53" t="s">
        <v>57</v>
      </c>
    </row>
    <row r="5" spans="1:21" ht="15.75">
      <c r="A5" s="55">
        <v>1</v>
      </c>
      <c r="B5" s="56" t="s">
        <v>6</v>
      </c>
      <c r="C5" s="25">
        <f>28196.86+5609.93+4384.99+1230.73</f>
        <v>39422.51</v>
      </c>
      <c r="D5" s="25">
        <f>40647.85+5240.85+4278.73+1092.28</f>
        <v>51259.70999999999</v>
      </c>
      <c r="E5" s="25">
        <f>50481.2+2954.57+6246.8+1080.57</f>
        <v>60763.14</v>
      </c>
      <c r="F5" s="25">
        <f>759.45+256.77+120.58+16.32</f>
        <v>1153.12</v>
      </c>
      <c r="G5" s="25">
        <f>4039.3+447.05+408.76+83.21</f>
        <v>4978.320000000001</v>
      </c>
      <c r="H5" s="26">
        <v>1485.42</v>
      </c>
      <c r="I5" s="25"/>
      <c r="J5" s="25"/>
      <c r="K5" s="25">
        <v>8036.94</v>
      </c>
      <c r="L5" s="25">
        <v>10208.62</v>
      </c>
      <c r="M5" s="25"/>
      <c r="N5" s="25">
        <v>5417.03</v>
      </c>
      <c r="O5" s="25"/>
      <c r="P5" s="25">
        <v>8155.08</v>
      </c>
      <c r="Q5" s="57">
        <f>H5+I5+J5+K5+L5+M5+N5+O5+P5</f>
        <v>33303.090000000004</v>
      </c>
      <c r="R5" s="58">
        <f aca="true" t="shared" si="0" ref="R5:R40">C5+D5+E5+F5+G5+H5+I5+J5+K5+L5+M5+N5+O5+P5</f>
        <v>190879.88999999998</v>
      </c>
      <c r="S5" s="59">
        <f>R5-Q5</f>
        <v>157576.8</v>
      </c>
      <c r="U5" s="62"/>
    </row>
    <row r="6" spans="1:21" ht="15.75">
      <c r="A6" s="55">
        <v>2</v>
      </c>
      <c r="B6" s="56" t="s">
        <v>7</v>
      </c>
      <c r="C6" s="25">
        <f>7297.14+6649.51</f>
        <v>13946.650000000001</v>
      </c>
      <c r="D6" s="25">
        <f>10540.84+7772.05</f>
        <v>18312.89</v>
      </c>
      <c r="E6" s="25">
        <f>2305.09+6462.45</f>
        <v>8767.54</v>
      </c>
      <c r="F6" s="25">
        <f>45.51+46.92</f>
        <v>92.43</v>
      </c>
      <c r="G6" s="25">
        <f>1726.63+882.8</f>
        <v>2609.4300000000003</v>
      </c>
      <c r="H6" s="26">
        <v>2976.16</v>
      </c>
      <c r="I6" s="25"/>
      <c r="J6" s="25"/>
      <c r="K6" s="25"/>
      <c r="L6" s="25"/>
      <c r="M6" s="25"/>
      <c r="N6" s="25"/>
      <c r="O6" s="25"/>
      <c r="P6" s="25"/>
      <c r="Q6" s="57">
        <f aca="true" t="shared" si="1" ref="Q6:Q40">H6+I6+J6+K6+L6+M6+N6+O6+P6</f>
        <v>2976.16</v>
      </c>
      <c r="R6" s="58">
        <f t="shared" si="0"/>
        <v>46705.100000000006</v>
      </c>
      <c r="S6" s="59">
        <f aca="true" t="shared" si="2" ref="S6:S40">R6-Q6</f>
        <v>43728.94</v>
      </c>
      <c r="U6" s="62"/>
    </row>
    <row r="7" spans="1:21" ht="15.75">
      <c r="A7" s="55">
        <v>3</v>
      </c>
      <c r="B7" s="56" t="s">
        <v>8</v>
      </c>
      <c r="C7" s="25">
        <f>5459.61+5405.87+3544.04+8193.99+3039.98</f>
        <v>25643.49</v>
      </c>
      <c r="D7" s="25">
        <f>7057.9+4268.66+5957.61+8212.71+2432.47</f>
        <v>27929.35</v>
      </c>
      <c r="E7" s="25">
        <f>2842.59+607.52+1489.5+4534.89+96.76</f>
        <v>9571.26</v>
      </c>
      <c r="F7" s="25">
        <f>624+1000.57+285.02+1000.87+2547.29</f>
        <v>5457.75</v>
      </c>
      <c r="G7" s="25">
        <f>1093.14+348.84+437.59+825.78+196.14</f>
        <v>2901.49</v>
      </c>
      <c r="H7" s="26"/>
      <c r="I7" s="25"/>
      <c r="J7" s="25"/>
      <c r="K7" s="25"/>
      <c r="L7" s="25"/>
      <c r="M7" s="25"/>
      <c r="N7" s="25"/>
      <c r="O7" s="25"/>
      <c r="P7" s="25"/>
      <c r="Q7" s="57">
        <f t="shared" si="1"/>
        <v>0</v>
      </c>
      <c r="R7" s="58">
        <f t="shared" si="0"/>
        <v>71503.34000000001</v>
      </c>
      <c r="S7" s="59">
        <f t="shared" si="2"/>
        <v>71503.34000000001</v>
      </c>
      <c r="U7" s="62"/>
    </row>
    <row r="8" spans="1:21" ht="15.75">
      <c r="A8" s="55">
        <v>4</v>
      </c>
      <c r="B8" s="56" t="s">
        <v>9</v>
      </c>
      <c r="C8" s="25">
        <f>4855.52+6860.71+4458.75</f>
        <v>16174.98</v>
      </c>
      <c r="D8" s="25">
        <f>4424.1+6445.43+5408.23</f>
        <v>16277.76</v>
      </c>
      <c r="E8" s="25">
        <f>4733.17+7221.84+3283.8</f>
        <v>15238.810000000001</v>
      </c>
      <c r="F8" s="25">
        <f>350.8+120.95+250.29</f>
        <v>722.04</v>
      </c>
      <c r="G8" s="25">
        <f>1164.29+827.97+584.66</f>
        <v>2576.92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1"/>
        <v>0</v>
      </c>
      <c r="R8" s="58">
        <f t="shared" si="0"/>
        <v>50990.51</v>
      </c>
      <c r="S8" s="59">
        <f t="shared" si="2"/>
        <v>50990.51</v>
      </c>
      <c r="U8" s="62"/>
    </row>
    <row r="9" spans="1:21" ht="15.75">
      <c r="A9" s="55">
        <v>5</v>
      </c>
      <c r="B9" s="56" t="s">
        <v>10</v>
      </c>
      <c r="C9" s="25">
        <v>41243.12</v>
      </c>
      <c r="D9" s="25">
        <v>27775.34</v>
      </c>
      <c r="E9" s="25">
        <v>19496.61</v>
      </c>
      <c r="F9" s="26">
        <v>695.05</v>
      </c>
      <c r="G9" s="25">
        <v>2903.73</v>
      </c>
      <c r="H9" s="26">
        <v>990.28</v>
      </c>
      <c r="J9" s="25"/>
      <c r="K9" s="25"/>
      <c r="L9" s="25">
        <v>2678.98</v>
      </c>
      <c r="M9" s="25">
        <v>2678.98</v>
      </c>
      <c r="N9" s="25">
        <v>5417.03</v>
      </c>
      <c r="O9" s="25"/>
      <c r="P9" s="25"/>
      <c r="Q9" s="57">
        <f t="shared" si="1"/>
        <v>11765.27</v>
      </c>
      <c r="R9" s="58">
        <f t="shared" si="0"/>
        <v>103879.12</v>
      </c>
      <c r="S9" s="59">
        <f t="shared" si="2"/>
        <v>92113.84999999999</v>
      </c>
      <c r="U9" s="62"/>
    </row>
    <row r="10" spans="1:23" ht="15.75">
      <c r="A10" s="55">
        <v>6</v>
      </c>
      <c r="B10" s="56" t="s">
        <v>11</v>
      </c>
      <c r="C10" s="25">
        <f>17095.25+11405+4245.85+7137.32+12302.21</f>
        <v>52185.63</v>
      </c>
      <c r="D10" s="25">
        <f>22014.81+13137.4+4857.32+5761.16+16121.05</f>
        <v>61891.740000000005</v>
      </c>
      <c r="E10" s="25">
        <f>35006.75+11550.41+7211.32+4684.22+59478.86</f>
        <v>117931.56</v>
      </c>
      <c r="F10" s="25">
        <f>995.14+777.04+45.77+599.21+390.21</f>
        <v>2807.37</v>
      </c>
      <c r="G10" s="25">
        <f>1904.99+1835.29+744+620.23+1601.82</f>
        <v>6706.33</v>
      </c>
      <c r="H10" s="26">
        <v>1189.13</v>
      </c>
      <c r="I10" s="25">
        <v>725.16</v>
      </c>
      <c r="J10" s="25"/>
      <c r="K10" s="25"/>
      <c r="L10" s="25">
        <v>2053.54</v>
      </c>
      <c r="M10" s="25"/>
      <c r="N10" s="25"/>
      <c r="O10" s="25"/>
      <c r="P10" s="25"/>
      <c r="Q10" s="57">
        <f t="shared" si="1"/>
        <v>3967.83</v>
      </c>
      <c r="R10" s="58">
        <f t="shared" si="0"/>
        <v>245490.46</v>
      </c>
      <c r="S10" s="59">
        <f t="shared" si="2"/>
        <v>241522.63</v>
      </c>
      <c r="U10" s="62"/>
      <c r="W10" s="66"/>
    </row>
    <row r="11" spans="1:21" ht="15.75">
      <c r="A11" s="55">
        <v>7</v>
      </c>
      <c r="B11" s="56" t="s">
        <v>59</v>
      </c>
      <c r="C11" s="25">
        <f>12163.58+14559.35+7024.81+6778.88+5760.65+2028.72+5764.33</f>
        <v>54080.32</v>
      </c>
      <c r="D11" s="25">
        <f>20636.12+16149.7+7465.56+9581.29+8217.17+2296.27+5505.16</f>
        <v>69851.26999999999</v>
      </c>
      <c r="E11" s="25">
        <f>14767+13230.47+1587.33+3622.87+5956.96+481.04+5508.08</f>
        <v>45153.75000000001</v>
      </c>
      <c r="F11" s="25">
        <f>382.31+288.37+182.14+123.96+537.9+11.45+277.26</f>
        <v>1803.39</v>
      </c>
      <c r="G11" s="25">
        <f>2603.17+1418.63+931.17+961.42+714.25+229.12+444.95</f>
        <v>7302.71</v>
      </c>
      <c r="H11" s="26">
        <f>1237.85+742.71</f>
        <v>1980.56</v>
      </c>
      <c r="I11" s="25"/>
      <c r="J11" s="25"/>
      <c r="K11" s="25">
        <v>2678.98</v>
      </c>
      <c r="L11" s="25"/>
      <c r="M11" s="25"/>
      <c r="N11" s="25"/>
      <c r="O11" s="25"/>
      <c r="P11" s="25"/>
      <c r="Q11" s="57">
        <f t="shared" si="1"/>
        <v>4659.54</v>
      </c>
      <c r="R11" s="58">
        <f t="shared" si="0"/>
        <v>182850.98</v>
      </c>
      <c r="S11" s="59">
        <f t="shared" si="2"/>
        <v>178191.44</v>
      </c>
      <c r="U11" s="62"/>
    </row>
    <row r="12" spans="1:21" ht="15.75">
      <c r="A12" s="55">
        <v>8</v>
      </c>
      <c r="B12" s="56" t="s">
        <v>12</v>
      </c>
      <c r="C12" s="25">
        <v>10099.94</v>
      </c>
      <c r="D12" s="25">
        <v>25151.87</v>
      </c>
      <c r="E12" s="25">
        <v>38973.55</v>
      </c>
      <c r="F12" s="25">
        <v>197.98</v>
      </c>
      <c r="G12" s="25">
        <v>1047.04</v>
      </c>
      <c r="H12" s="26">
        <v>4490.49</v>
      </c>
      <c r="I12" s="25">
        <v>247.57</v>
      </c>
      <c r="J12" s="25">
        <v>3667.2</v>
      </c>
      <c r="K12" s="25"/>
      <c r="L12" s="25">
        <v>4309.14</v>
      </c>
      <c r="M12" s="25"/>
      <c r="N12" s="25">
        <v>2738.05</v>
      </c>
      <c r="O12" s="25"/>
      <c r="P12" s="25"/>
      <c r="Q12" s="57">
        <f t="shared" si="1"/>
        <v>15452.449999999997</v>
      </c>
      <c r="R12" s="58">
        <f t="shared" si="0"/>
        <v>90922.83</v>
      </c>
      <c r="S12" s="59">
        <f t="shared" si="2"/>
        <v>75470.38</v>
      </c>
      <c r="U12" s="62"/>
    </row>
    <row r="13" spans="1:21" ht="15.75">
      <c r="A13" s="55">
        <v>9</v>
      </c>
      <c r="B13" s="56" t="s">
        <v>13</v>
      </c>
      <c r="C13" s="25">
        <f>9381.96+905.11+7882.58</f>
        <v>18169.65</v>
      </c>
      <c r="D13" s="27">
        <f>10833.17+1926.79+13617.56</f>
        <v>26377.519999999997</v>
      </c>
      <c r="E13" s="25">
        <f>16099+260.44+4763.85</f>
        <v>21123.29</v>
      </c>
      <c r="F13" s="25">
        <f>293.61+17.21+146.83</f>
        <v>457.65</v>
      </c>
      <c r="G13" s="25">
        <f>903.77+67.3+1227.94</f>
        <v>2199.01</v>
      </c>
      <c r="H13" s="26"/>
      <c r="I13" s="25"/>
      <c r="J13" s="25"/>
      <c r="K13" s="25"/>
      <c r="L13" s="25"/>
      <c r="M13" s="25"/>
      <c r="N13" s="25"/>
      <c r="O13" s="25"/>
      <c r="P13" s="25"/>
      <c r="Q13" s="57">
        <f t="shared" si="1"/>
        <v>0</v>
      </c>
      <c r="R13" s="58">
        <f t="shared" si="0"/>
        <v>68327.11999999998</v>
      </c>
      <c r="S13" s="59">
        <f t="shared" si="2"/>
        <v>68327.11999999998</v>
      </c>
      <c r="U13" s="62"/>
    </row>
    <row r="14" spans="1:21" ht="15.75">
      <c r="A14" s="55">
        <v>10</v>
      </c>
      <c r="B14" s="56" t="s">
        <v>14</v>
      </c>
      <c r="C14" s="25">
        <f>17118.02+15478.84+20032.73</f>
        <v>52629.59</v>
      </c>
      <c r="D14" s="25">
        <f>21395.13+15803.02+27561.8</f>
        <v>64759.95</v>
      </c>
      <c r="E14" s="25">
        <f>7312.71+8082.31+16055.32</f>
        <v>31450.34</v>
      </c>
      <c r="F14" s="25">
        <f>449.45+406.44+542.98</f>
        <v>1398.87</v>
      </c>
      <c r="G14" s="25">
        <f>2729.12+1741.83+2571.79</f>
        <v>7042.74</v>
      </c>
      <c r="H14" s="26">
        <v>742.71</v>
      </c>
      <c r="I14" s="25"/>
      <c r="J14" s="25"/>
      <c r="K14" s="25"/>
      <c r="L14" s="25">
        <v>2738.05</v>
      </c>
      <c r="M14" s="25">
        <v>2678.98</v>
      </c>
      <c r="N14" s="25">
        <f>2678.98+10774.99</f>
        <v>13453.97</v>
      </c>
      <c r="O14" s="25">
        <v>1815.63</v>
      </c>
      <c r="P14" s="25"/>
      <c r="Q14" s="57">
        <f t="shared" si="1"/>
        <v>21429.34</v>
      </c>
      <c r="R14" s="58">
        <f t="shared" si="0"/>
        <v>178710.83</v>
      </c>
      <c r="S14" s="59">
        <f t="shared" si="2"/>
        <v>157281.49</v>
      </c>
      <c r="U14" s="62"/>
    </row>
    <row r="15" spans="1:21" ht="15.75">
      <c r="A15" s="55">
        <v>11</v>
      </c>
      <c r="B15" s="56" t="s">
        <v>15</v>
      </c>
      <c r="C15" s="25">
        <v>21752.65</v>
      </c>
      <c r="D15" s="25">
        <v>31674.19</v>
      </c>
      <c r="E15" s="25">
        <v>26080.32</v>
      </c>
      <c r="F15" s="25">
        <v>733.13</v>
      </c>
      <c r="G15" s="25">
        <v>3664.49</v>
      </c>
      <c r="H15" s="26"/>
      <c r="I15" s="25"/>
      <c r="J15" s="25"/>
      <c r="K15" s="25"/>
      <c r="L15" s="25"/>
      <c r="M15" s="25"/>
      <c r="N15" s="25"/>
      <c r="O15" s="25"/>
      <c r="P15" s="25"/>
      <c r="Q15" s="57">
        <f t="shared" si="1"/>
        <v>0</v>
      </c>
      <c r="R15" s="58">
        <f t="shared" si="0"/>
        <v>83904.78000000001</v>
      </c>
      <c r="S15" s="59">
        <f t="shared" si="2"/>
        <v>83904.78000000001</v>
      </c>
      <c r="U15" s="62"/>
    </row>
    <row r="16" spans="1:22" ht="15.75">
      <c r="A16" s="55">
        <v>12</v>
      </c>
      <c r="B16" s="56" t="s">
        <v>16</v>
      </c>
      <c r="C16" s="25">
        <v>16489</v>
      </c>
      <c r="D16" s="25">
        <v>11862.59</v>
      </c>
      <c r="E16" s="25">
        <v>6083.48</v>
      </c>
      <c r="F16" s="25">
        <v>431.2</v>
      </c>
      <c r="G16" s="25">
        <v>1507.48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1"/>
        <v>0</v>
      </c>
      <c r="R16" s="58">
        <f t="shared" si="0"/>
        <v>36373.75</v>
      </c>
      <c r="S16" s="59">
        <f t="shared" si="2"/>
        <v>36373.75</v>
      </c>
      <c r="T16" s="11"/>
      <c r="U16" s="62"/>
      <c r="V16" s="11"/>
    </row>
    <row r="17" spans="1:21" ht="15.75">
      <c r="A17" s="55">
        <v>13</v>
      </c>
      <c r="B17" s="56" t="s">
        <v>17</v>
      </c>
      <c r="C17" s="25">
        <f>31427.54+12758.97+3441.69</f>
        <v>47628.200000000004</v>
      </c>
      <c r="D17" s="25">
        <f>27657.81+11054.5+2847.23</f>
        <v>41559.54</v>
      </c>
      <c r="E17" s="25">
        <f>20552.15+10668.62+1982.51</f>
        <v>33203.280000000006</v>
      </c>
      <c r="F17" s="25">
        <f>3130.6+784.88+20.73</f>
        <v>3936.21</v>
      </c>
      <c r="G17" s="25">
        <f>3356.71+737.88+327.21</f>
        <v>4421.8</v>
      </c>
      <c r="H17" s="26"/>
      <c r="I17" s="25"/>
      <c r="J17" s="25"/>
      <c r="K17" s="25"/>
      <c r="L17" s="25">
        <v>5417.03</v>
      </c>
      <c r="M17" s="25"/>
      <c r="N17" s="25"/>
      <c r="O17" s="25"/>
      <c r="P17" s="25"/>
      <c r="Q17" s="57">
        <f t="shared" si="1"/>
        <v>5417.03</v>
      </c>
      <c r="R17" s="58">
        <f t="shared" si="0"/>
        <v>136166.06000000003</v>
      </c>
      <c r="S17" s="59">
        <f t="shared" si="2"/>
        <v>130749.03000000003</v>
      </c>
      <c r="U17" s="62"/>
    </row>
    <row r="18" spans="1:21" ht="15.75">
      <c r="A18" s="55">
        <v>14</v>
      </c>
      <c r="B18" s="56" t="s">
        <v>18</v>
      </c>
      <c r="C18" s="25">
        <f>9744.51+3780.53</f>
        <v>13525.04</v>
      </c>
      <c r="D18" s="25">
        <f>11832.98+3067.21</f>
        <v>14900.189999999999</v>
      </c>
      <c r="E18" s="25">
        <f>5050.64+1946.89</f>
        <v>6997.530000000001</v>
      </c>
      <c r="F18" s="25">
        <f>396.31+156.79</f>
        <v>553.1</v>
      </c>
      <c r="G18" s="25">
        <f>1926.47+584.32</f>
        <v>2510.79</v>
      </c>
      <c r="H18" s="28"/>
      <c r="I18" s="25"/>
      <c r="J18" s="25"/>
      <c r="K18" s="25"/>
      <c r="L18" s="25"/>
      <c r="M18" s="25"/>
      <c r="N18" s="25"/>
      <c r="O18" s="25"/>
      <c r="P18" s="25"/>
      <c r="Q18" s="57">
        <f t="shared" si="1"/>
        <v>0</v>
      </c>
      <c r="R18" s="58">
        <f t="shared" si="0"/>
        <v>38486.65</v>
      </c>
      <c r="S18" s="59">
        <f t="shared" si="2"/>
        <v>38486.65</v>
      </c>
      <c r="U18" s="62"/>
    </row>
    <row r="19" spans="1:21" ht="15.75">
      <c r="A19" s="55">
        <v>15</v>
      </c>
      <c r="B19" s="56" t="s">
        <v>19</v>
      </c>
      <c r="C19" s="25">
        <v>0</v>
      </c>
      <c r="D19" s="25">
        <v>0</v>
      </c>
      <c r="E19" s="25">
        <v>0</v>
      </c>
      <c r="F19" s="65">
        <v>0</v>
      </c>
      <c r="G19" s="64">
        <v>0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1"/>
        <v>0</v>
      </c>
      <c r="R19" s="58">
        <f t="shared" si="0"/>
        <v>0</v>
      </c>
      <c r="S19" s="59">
        <f t="shared" si="2"/>
        <v>0</v>
      </c>
      <c r="U19" s="62"/>
    </row>
    <row r="20" spans="1:21" ht="15.75">
      <c r="A20" s="55">
        <v>16</v>
      </c>
      <c r="B20" s="56" t="s">
        <v>20</v>
      </c>
      <c r="C20" s="25">
        <f>4082.77+3121.24+1159.14+2095.94</f>
        <v>10459.09</v>
      </c>
      <c r="D20" s="25">
        <f>4117.88+4197.17+1050+2998</f>
        <v>12363.05</v>
      </c>
      <c r="E20" s="25">
        <f>371.08+712.53+895.17+1591.38</f>
        <v>3570.16</v>
      </c>
      <c r="F20" s="25">
        <f>694.01+98.52+124.65+133.7</f>
        <v>1050.8799999999999</v>
      </c>
      <c r="G20" s="25">
        <f>704.98+232.21+169.57+304.43</f>
        <v>1411.19</v>
      </c>
      <c r="H20" s="26"/>
      <c r="I20" s="25"/>
      <c r="J20" s="25"/>
      <c r="K20" s="25"/>
      <c r="L20" s="25"/>
      <c r="M20" s="25"/>
      <c r="N20" s="25"/>
      <c r="O20" s="25"/>
      <c r="P20" s="25"/>
      <c r="Q20" s="57">
        <f t="shared" si="1"/>
        <v>0</v>
      </c>
      <c r="R20" s="58">
        <f t="shared" si="0"/>
        <v>28854.37</v>
      </c>
      <c r="S20" s="59">
        <f t="shared" si="2"/>
        <v>28854.37</v>
      </c>
      <c r="U20" s="62"/>
    </row>
    <row r="21" spans="1:21" ht="15.75">
      <c r="A21" s="55">
        <v>17</v>
      </c>
      <c r="B21" s="56" t="s">
        <v>21</v>
      </c>
      <c r="C21" s="25">
        <v>15694.57</v>
      </c>
      <c r="D21" s="25">
        <v>16769.57</v>
      </c>
      <c r="E21" s="25">
        <v>11382.42</v>
      </c>
      <c r="F21" s="25">
        <v>395.8</v>
      </c>
      <c r="G21" s="25">
        <v>2902.05</v>
      </c>
      <c r="H21" s="26">
        <v>2546.5</v>
      </c>
      <c r="I21" s="25"/>
      <c r="J21" s="25"/>
      <c r="K21" s="25"/>
      <c r="L21" s="25"/>
      <c r="M21" s="25"/>
      <c r="N21" s="25"/>
      <c r="O21" s="25"/>
      <c r="P21" s="25"/>
      <c r="Q21" s="57">
        <f t="shared" si="1"/>
        <v>2546.5</v>
      </c>
      <c r="R21" s="58">
        <f t="shared" si="0"/>
        <v>49690.91</v>
      </c>
      <c r="S21" s="59">
        <f t="shared" si="2"/>
        <v>47144.41</v>
      </c>
      <c r="U21" s="62"/>
    </row>
    <row r="22" spans="1:21" ht="15.75">
      <c r="A22" s="55">
        <v>18</v>
      </c>
      <c r="B22" s="56" t="s">
        <v>22</v>
      </c>
      <c r="C22" s="25">
        <f>13193.89+5047.98+17648.17+1925.89+4964.01+2113.24</f>
        <v>44893.17999999999</v>
      </c>
      <c r="D22" s="25">
        <f>20398.44+5372.26+16805.59+3599.48+3585.74+2454.08</f>
        <v>52215.59</v>
      </c>
      <c r="E22" s="25">
        <f>22886.98+5173.91+10933.03+476.96+182.85+798.22</f>
        <v>40451.95</v>
      </c>
      <c r="F22" s="25">
        <f>799.83+128.93+609.05+99.33+5662.26+242.6</f>
        <v>7542</v>
      </c>
      <c r="G22" s="25">
        <f>2462.25+591.95+2483.57+357.65+472.31+427.21</f>
        <v>6794.9400000000005</v>
      </c>
      <c r="H22" s="26">
        <f>247.57+2723.29</f>
        <v>2970.86</v>
      </c>
      <c r="I22" s="25"/>
      <c r="J22" s="25"/>
      <c r="K22" s="25">
        <v>5357.95</v>
      </c>
      <c r="L22" s="25">
        <v>2738.05</v>
      </c>
      <c r="M22" s="25"/>
      <c r="N22" s="25"/>
      <c r="O22" s="25"/>
      <c r="P22" s="25"/>
      <c r="Q22" s="57">
        <f t="shared" si="1"/>
        <v>11066.86</v>
      </c>
      <c r="R22" s="58">
        <f t="shared" si="0"/>
        <v>162964.51999999996</v>
      </c>
      <c r="S22" s="59">
        <f t="shared" si="2"/>
        <v>151897.65999999997</v>
      </c>
      <c r="U22" s="62"/>
    </row>
    <row r="23" spans="1:21" ht="15.75">
      <c r="A23" s="55">
        <v>19</v>
      </c>
      <c r="B23" s="56" t="s">
        <v>23</v>
      </c>
      <c r="C23" s="25">
        <v>4951.66</v>
      </c>
      <c r="D23" s="25">
        <v>4660.08</v>
      </c>
      <c r="E23" s="25">
        <v>3279.46</v>
      </c>
      <c r="F23" s="25">
        <v>173.45</v>
      </c>
      <c r="G23" s="25">
        <v>820.89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1"/>
        <v>0</v>
      </c>
      <c r="R23" s="58">
        <f t="shared" si="0"/>
        <v>13885.54</v>
      </c>
      <c r="S23" s="59">
        <f t="shared" si="2"/>
        <v>13885.54</v>
      </c>
      <c r="U23" s="62"/>
    </row>
    <row r="24" spans="1:21" ht="15.75">
      <c r="A24" s="55">
        <v>20</v>
      </c>
      <c r="B24" s="56" t="s">
        <v>24</v>
      </c>
      <c r="C24" s="25">
        <f>6156.1+3884.87</f>
        <v>10040.970000000001</v>
      </c>
      <c r="D24" s="25">
        <f>3984.17+5313.73</f>
        <v>9297.9</v>
      </c>
      <c r="E24" s="25">
        <f>3548.44+1466.62</f>
        <v>5015.0599999999995</v>
      </c>
      <c r="F24" s="25">
        <f>596.37+466.48</f>
        <v>1062.85</v>
      </c>
      <c r="G24" s="25">
        <f>535.73+943.49</f>
        <v>1479.22</v>
      </c>
      <c r="H24" s="26"/>
      <c r="I24" s="25"/>
      <c r="J24" s="25"/>
      <c r="K24" s="25"/>
      <c r="L24" s="25"/>
      <c r="M24" s="25"/>
      <c r="N24" s="25"/>
      <c r="O24" s="25"/>
      <c r="P24" s="25"/>
      <c r="Q24" s="57">
        <f t="shared" si="1"/>
        <v>0</v>
      </c>
      <c r="R24" s="58">
        <f t="shared" si="0"/>
        <v>26896</v>
      </c>
      <c r="S24" s="59">
        <f t="shared" si="2"/>
        <v>26896</v>
      </c>
      <c r="U24" s="62"/>
    </row>
    <row r="25" spans="1:21" ht="15.75">
      <c r="A25" s="55">
        <v>21</v>
      </c>
      <c r="B25" s="56" t="s">
        <v>25</v>
      </c>
      <c r="C25" s="25">
        <f>6907.67+5363.42+10239.73+4853.73</f>
        <v>27364.55</v>
      </c>
      <c r="D25" s="25">
        <f>10602.28+10465.09+16577.25+8767.81</f>
        <v>46412.43</v>
      </c>
      <c r="E25" s="25">
        <f>4019.52+11257.06+20980.89+2454.97</f>
        <v>38712.44</v>
      </c>
      <c r="F25" s="25">
        <f>94.72+130.12+57.17+302.93</f>
        <v>584.94</v>
      </c>
      <c r="G25" s="25">
        <f>823.67+871.23+1087.12+668.69</f>
        <v>3450.71</v>
      </c>
      <c r="H25" s="25">
        <f>446.41+1485.4</f>
        <v>1931.8100000000002</v>
      </c>
      <c r="I25" s="25"/>
      <c r="J25" s="25">
        <v>2226.29</v>
      </c>
      <c r="K25" s="25">
        <v>2678.97</v>
      </c>
      <c r="L25" s="25">
        <v>23796.97</v>
      </c>
      <c r="M25" s="25">
        <v>2678.97</v>
      </c>
      <c r="N25" s="25">
        <v>8036.91</v>
      </c>
      <c r="O25" s="25"/>
      <c r="P25" s="25">
        <v>33487.13</v>
      </c>
      <c r="Q25" s="57">
        <f t="shared" si="1"/>
        <v>74837.04999999999</v>
      </c>
      <c r="R25" s="58">
        <f t="shared" si="0"/>
        <v>191362.12</v>
      </c>
      <c r="S25" s="59">
        <f t="shared" si="2"/>
        <v>116525.07</v>
      </c>
      <c r="U25" s="62"/>
    </row>
    <row r="26" spans="1:21" ht="15.75">
      <c r="A26" s="55">
        <v>22</v>
      </c>
      <c r="B26" s="56" t="s">
        <v>26</v>
      </c>
      <c r="C26" s="25">
        <v>2099.09</v>
      </c>
      <c r="D26" s="25">
        <v>4598.4</v>
      </c>
      <c r="E26" s="25">
        <v>7749.7</v>
      </c>
      <c r="F26" s="25">
        <v>28.26</v>
      </c>
      <c r="G26" s="25">
        <v>545.26</v>
      </c>
      <c r="H26" s="26"/>
      <c r="I26" s="25"/>
      <c r="J26" s="25"/>
      <c r="K26" s="25"/>
      <c r="L26" s="25"/>
      <c r="M26" s="25"/>
      <c r="N26" s="25">
        <v>3859.45</v>
      </c>
      <c r="O26" s="25"/>
      <c r="P26" s="25"/>
      <c r="Q26" s="57">
        <f t="shared" si="1"/>
        <v>3859.45</v>
      </c>
      <c r="R26" s="58">
        <f t="shared" si="0"/>
        <v>18880.16</v>
      </c>
      <c r="S26" s="59">
        <f t="shared" si="2"/>
        <v>15020.71</v>
      </c>
      <c r="U26" s="62"/>
    </row>
    <row r="27" spans="1:21" ht="15.75">
      <c r="A27" s="55">
        <v>23</v>
      </c>
      <c r="B27" s="56" t="s">
        <v>27</v>
      </c>
      <c r="C27" s="25">
        <f>8881.17+4787.16</f>
        <v>13668.33</v>
      </c>
      <c r="D27" s="25">
        <f>10423.78+4542.6</f>
        <v>14966.380000000001</v>
      </c>
      <c r="E27" s="25">
        <f>4069.74+2035.98</f>
        <v>6105.719999999999</v>
      </c>
      <c r="F27" s="25">
        <f>102.58+489.71</f>
        <v>592.29</v>
      </c>
      <c r="G27" s="25">
        <f>1720.87+764.18</f>
        <v>2485.0499999999997</v>
      </c>
      <c r="H27" s="26"/>
      <c r="I27" s="25"/>
      <c r="J27" s="25"/>
      <c r="K27" s="25"/>
      <c r="L27" s="25">
        <v>3260.32</v>
      </c>
      <c r="M27" s="25"/>
      <c r="N27" s="25"/>
      <c r="O27" s="25">
        <v>2109.97</v>
      </c>
      <c r="P27" s="25"/>
      <c r="Q27" s="57">
        <f t="shared" si="1"/>
        <v>5370.29</v>
      </c>
      <c r="R27" s="58">
        <f t="shared" si="0"/>
        <v>43188.060000000005</v>
      </c>
      <c r="S27" s="59">
        <f>R27-Q27</f>
        <v>37817.770000000004</v>
      </c>
      <c r="U27" s="62"/>
    </row>
    <row r="28" spans="1:21" ht="15.75">
      <c r="A28" s="55">
        <v>24</v>
      </c>
      <c r="B28" s="56" t="s">
        <v>28</v>
      </c>
      <c r="C28" s="25">
        <f>4309.87+4043.14</f>
        <v>8353.01</v>
      </c>
      <c r="D28" s="25">
        <f>4861.86+3290.56</f>
        <v>8152.42</v>
      </c>
      <c r="E28" s="25">
        <f>5967.18+2934.32</f>
        <v>8901.5</v>
      </c>
      <c r="F28" s="25">
        <f>57.28+41.67</f>
        <v>98.95</v>
      </c>
      <c r="G28" s="25">
        <f>319.05+218.12</f>
        <v>537.1700000000001</v>
      </c>
      <c r="H28" s="26"/>
      <c r="I28" s="25"/>
      <c r="J28" s="25"/>
      <c r="K28" s="25"/>
      <c r="L28" s="25"/>
      <c r="M28" s="25"/>
      <c r="N28" s="25"/>
      <c r="O28" s="25"/>
      <c r="P28" s="25"/>
      <c r="Q28" s="57">
        <f t="shared" si="1"/>
        <v>0</v>
      </c>
      <c r="R28" s="58">
        <f t="shared" si="0"/>
        <v>26043.050000000003</v>
      </c>
      <c r="S28" s="59">
        <f t="shared" si="2"/>
        <v>26043.050000000003</v>
      </c>
      <c r="U28" s="62"/>
    </row>
    <row r="29" spans="1:21" ht="15.75">
      <c r="A29" s="55">
        <v>25</v>
      </c>
      <c r="B29" s="56" t="s">
        <v>29</v>
      </c>
      <c r="C29" s="25">
        <f>14391.86+11430.08+17239.24</f>
        <v>43061.18000000001</v>
      </c>
      <c r="D29" s="25">
        <f>27076.43+19913.71+19027.44</f>
        <v>66017.58</v>
      </c>
      <c r="E29" s="25">
        <f>11876.96+7228.82+6712.76</f>
        <v>25818.54</v>
      </c>
      <c r="F29" s="25">
        <f>370.23+779.52+165.57</f>
        <v>1315.32</v>
      </c>
      <c r="G29" s="25">
        <f>2111.16+2300.53+2145.48</f>
        <v>6557.17</v>
      </c>
      <c r="H29" s="26">
        <v>693.99</v>
      </c>
      <c r="I29" s="25"/>
      <c r="J29" s="25"/>
      <c r="K29" s="25"/>
      <c r="L29" s="25"/>
      <c r="M29" s="25"/>
      <c r="N29" s="25"/>
      <c r="O29" s="25"/>
      <c r="P29" s="25"/>
      <c r="Q29" s="57">
        <f t="shared" si="1"/>
        <v>693.99</v>
      </c>
      <c r="R29" s="58">
        <f t="shared" si="0"/>
        <v>143463.78000000003</v>
      </c>
      <c r="S29" s="59">
        <f t="shared" si="2"/>
        <v>142769.79000000004</v>
      </c>
      <c r="U29" s="62"/>
    </row>
    <row r="30" spans="1:21" ht="15.75">
      <c r="A30" s="55">
        <v>26</v>
      </c>
      <c r="B30" s="56" t="s">
        <v>30</v>
      </c>
      <c r="C30" s="25">
        <f>26432.32+3804.68</f>
        <v>30237</v>
      </c>
      <c r="D30" s="25">
        <f>34769.16+4160.88</f>
        <v>38930.04</v>
      </c>
      <c r="E30" s="25">
        <f>16812.72+761.25</f>
        <v>17573.97</v>
      </c>
      <c r="F30" s="25">
        <f>1283.3+178.47</f>
        <v>1461.77</v>
      </c>
      <c r="G30" s="25">
        <f>4619.16+553.75</f>
        <v>5172.91</v>
      </c>
      <c r="H30" s="26">
        <v>247.57</v>
      </c>
      <c r="I30" s="25"/>
      <c r="J30" s="25"/>
      <c r="K30" s="25">
        <v>5357.95</v>
      </c>
      <c r="L30" s="25"/>
      <c r="M30" s="25"/>
      <c r="N30" s="25"/>
      <c r="O30" s="25"/>
      <c r="P30" s="25"/>
      <c r="Q30" s="57">
        <f t="shared" si="1"/>
        <v>5605.5199999999995</v>
      </c>
      <c r="R30" s="58">
        <f t="shared" si="0"/>
        <v>98981.21000000002</v>
      </c>
      <c r="S30" s="59">
        <f t="shared" si="2"/>
        <v>93375.69000000002</v>
      </c>
      <c r="U30" s="62"/>
    </row>
    <row r="31" spans="1:21" ht="15.75">
      <c r="A31" s="55">
        <v>27</v>
      </c>
      <c r="B31" s="56" t="s">
        <v>40</v>
      </c>
      <c r="C31" s="25">
        <v>3161.66</v>
      </c>
      <c r="D31" s="25">
        <v>3571.76</v>
      </c>
      <c r="E31" s="25">
        <v>2896.49</v>
      </c>
      <c r="F31" s="25">
        <v>213.45</v>
      </c>
      <c r="G31" s="25">
        <v>322.7</v>
      </c>
      <c r="H31" s="26"/>
      <c r="I31" s="25"/>
      <c r="J31" s="25"/>
      <c r="K31" s="25"/>
      <c r="L31" s="25"/>
      <c r="M31" s="25"/>
      <c r="N31" s="25"/>
      <c r="O31" s="25"/>
      <c r="P31" s="25"/>
      <c r="Q31" s="57">
        <f t="shared" si="1"/>
        <v>0</v>
      </c>
      <c r="R31" s="58">
        <f t="shared" si="0"/>
        <v>10166.060000000001</v>
      </c>
      <c r="S31" s="59">
        <f t="shared" si="2"/>
        <v>10166.060000000001</v>
      </c>
      <c r="U31" s="62"/>
    </row>
    <row r="32" spans="1:21" ht="15.75">
      <c r="A32" s="55">
        <v>28</v>
      </c>
      <c r="B32" s="56" t="s">
        <v>41</v>
      </c>
      <c r="C32" s="25">
        <f>11976.65+656.08+2528.96+3542.65</f>
        <v>18704.34</v>
      </c>
      <c r="D32" s="25">
        <f>13232.33+666.62+2527.98+4941.13</f>
        <v>21368.06</v>
      </c>
      <c r="E32" s="25">
        <f>12323.99+496.3+1889.71+2663.56</f>
        <v>17373.56</v>
      </c>
      <c r="F32" s="25">
        <f>397.79+229.99+232.98</f>
        <v>860.76</v>
      </c>
      <c r="G32" s="25">
        <f>1139.78+82.13+214.03+325.15</f>
        <v>1761.0899999999997</v>
      </c>
      <c r="H32" s="26"/>
      <c r="I32" s="25"/>
      <c r="J32" s="25">
        <v>1833.6</v>
      </c>
      <c r="K32" s="25"/>
      <c r="L32" s="25"/>
      <c r="M32" s="25">
        <v>2738.05</v>
      </c>
      <c r="N32" s="25"/>
      <c r="O32" s="25"/>
      <c r="P32" s="25"/>
      <c r="Q32" s="57">
        <f t="shared" si="1"/>
        <v>4571.65</v>
      </c>
      <c r="R32" s="58">
        <f t="shared" si="0"/>
        <v>64639.46000000001</v>
      </c>
      <c r="S32" s="59">
        <f t="shared" si="2"/>
        <v>60067.810000000005</v>
      </c>
      <c r="U32" s="62"/>
    </row>
    <row r="33" spans="1:21" ht="15.75">
      <c r="A33" s="55">
        <v>29</v>
      </c>
      <c r="B33" s="56" t="s">
        <v>42</v>
      </c>
      <c r="C33" s="25">
        <v>15606.34</v>
      </c>
      <c r="D33" s="25">
        <v>25105.06</v>
      </c>
      <c r="E33" s="25">
        <v>14197.08</v>
      </c>
      <c r="F33" s="25">
        <v>360.54</v>
      </c>
      <c r="G33" s="25">
        <v>2604.62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1"/>
        <v>0</v>
      </c>
      <c r="R33" s="58">
        <f t="shared" si="0"/>
        <v>57873.64000000001</v>
      </c>
      <c r="S33" s="59">
        <f t="shared" si="2"/>
        <v>57873.64000000001</v>
      </c>
      <c r="U33" s="62"/>
    </row>
    <row r="34" spans="1:21" ht="15.75">
      <c r="A34" s="55">
        <v>30</v>
      </c>
      <c r="B34" s="56" t="s">
        <v>44</v>
      </c>
      <c r="C34" s="25">
        <v>7240.74</v>
      </c>
      <c r="D34" s="25">
        <v>6704.62</v>
      </c>
      <c r="E34" s="25">
        <v>6130.62</v>
      </c>
      <c r="F34" s="25">
        <v>503.44</v>
      </c>
      <c r="G34" s="25">
        <v>830.09</v>
      </c>
      <c r="H34" s="26"/>
      <c r="I34" s="25"/>
      <c r="J34" s="25"/>
      <c r="K34" s="25"/>
      <c r="L34" s="25"/>
      <c r="M34" s="25"/>
      <c r="N34" s="25"/>
      <c r="O34" s="25"/>
      <c r="P34" s="25"/>
      <c r="Q34" s="57">
        <f t="shared" si="1"/>
        <v>0</v>
      </c>
      <c r="R34" s="58">
        <f t="shared" si="0"/>
        <v>21409.51</v>
      </c>
      <c r="S34" s="59">
        <f t="shared" si="2"/>
        <v>21409.51</v>
      </c>
      <c r="U34" s="62"/>
    </row>
    <row r="35" spans="1:21" ht="15.75">
      <c r="A35" s="55">
        <v>31</v>
      </c>
      <c r="B35" s="56" t="s">
        <v>45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6"/>
      <c r="I35" s="25"/>
      <c r="J35" s="25"/>
      <c r="K35" s="25"/>
      <c r="L35" s="25"/>
      <c r="M35" s="25"/>
      <c r="N35" s="25"/>
      <c r="O35" s="25"/>
      <c r="P35" s="25"/>
      <c r="Q35" s="57">
        <f t="shared" si="1"/>
        <v>0</v>
      </c>
      <c r="R35" s="58">
        <f t="shared" si="0"/>
        <v>0</v>
      </c>
      <c r="S35" s="59">
        <f t="shared" si="2"/>
        <v>0</v>
      </c>
      <c r="U35" s="62"/>
    </row>
    <row r="36" spans="1:56" s="48" customFormat="1" ht="15.75">
      <c r="A36" s="55">
        <v>32</v>
      </c>
      <c r="B36" s="56" t="s">
        <v>47</v>
      </c>
      <c r="C36" s="25">
        <v>7061.06</v>
      </c>
      <c r="D36" s="25">
        <v>8835.5</v>
      </c>
      <c r="E36" s="25">
        <v>5760.08</v>
      </c>
      <c r="F36" s="25">
        <v>314.26</v>
      </c>
      <c r="G36" s="25">
        <v>1094.61</v>
      </c>
      <c r="H36" s="25">
        <v>618.93</v>
      </c>
      <c r="I36" s="25"/>
      <c r="J36" s="25"/>
      <c r="K36" s="25"/>
      <c r="L36" s="25"/>
      <c r="M36" s="25"/>
      <c r="N36" s="25"/>
      <c r="O36" s="25"/>
      <c r="P36" s="25"/>
      <c r="Q36" s="57">
        <f t="shared" si="1"/>
        <v>618.93</v>
      </c>
      <c r="R36" s="58">
        <f t="shared" si="0"/>
        <v>23684.44</v>
      </c>
      <c r="S36" s="59">
        <f t="shared" si="2"/>
        <v>23065.51</v>
      </c>
      <c r="T36" s="4"/>
      <c r="U36" s="6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21" s="4" customFormat="1" ht="15.75">
      <c r="A37" s="55">
        <v>33</v>
      </c>
      <c r="B37" s="56" t="s">
        <v>60</v>
      </c>
      <c r="C37" s="25">
        <v>4083.09</v>
      </c>
      <c r="D37" s="25">
        <v>3912.03</v>
      </c>
      <c r="E37" s="25">
        <v>1651.64</v>
      </c>
      <c r="F37" s="25">
        <v>0</v>
      </c>
      <c r="G37" s="25">
        <v>483.78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1"/>
        <v>0</v>
      </c>
      <c r="R37" s="58">
        <f t="shared" si="0"/>
        <v>10130.54</v>
      </c>
      <c r="S37" s="59">
        <f t="shared" si="2"/>
        <v>10130.54</v>
      </c>
      <c r="U37" s="62"/>
    </row>
    <row r="38" spans="1:21" s="4" customFormat="1" ht="15.75">
      <c r="A38" s="55">
        <v>34</v>
      </c>
      <c r="B38" s="56" t="s">
        <v>61</v>
      </c>
      <c r="C38" s="25">
        <v>4521.95</v>
      </c>
      <c r="D38" s="25">
        <v>7775.2</v>
      </c>
      <c r="E38" s="25">
        <v>1907</v>
      </c>
      <c r="F38" s="25">
        <v>882.41</v>
      </c>
      <c r="G38" s="25">
        <v>731.34</v>
      </c>
      <c r="H38" s="25"/>
      <c r="I38" s="25"/>
      <c r="J38" s="25"/>
      <c r="K38" s="25"/>
      <c r="L38" s="25"/>
      <c r="M38" s="25"/>
      <c r="N38" s="25"/>
      <c r="O38" s="25"/>
      <c r="P38" s="25"/>
      <c r="Q38" s="57">
        <f t="shared" si="1"/>
        <v>0</v>
      </c>
      <c r="R38" s="58">
        <f t="shared" si="0"/>
        <v>15817.9</v>
      </c>
      <c r="S38" s="59">
        <f t="shared" si="2"/>
        <v>15817.9</v>
      </c>
      <c r="U38" s="62"/>
    </row>
    <row r="39" spans="1:21" s="4" customFormat="1" ht="16.5" thickBot="1">
      <c r="A39" s="55">
        <v>35</v>
      </c>
      <c r="B39" s="56" t="s">
        <v>71</v>
      </c>
      <c r="C39" s="25">
        <v>2928.58</v>
      </c>
      <c r="D39" s="25">
        <v>3050.69</v>
      </c>
      <c r="E39" s="25">
        <v>835.39</v>
      </c>
      <c r="F39" s="25">
        <v>226.55</v>
      </c>
      <c r="G39" s="25">
        <v>203</v>
      </c>
      <c r="H39" s="25"/>
      <c r="I39" s="25"/>
      <c r="J39" s="25"/>
      <c r="K39" s="25"/>
      <c r="L39" s="25"/>
      <c r="M39" s="25"/>
      <c r="N39" s="25"/>
      <c r="O39" s="25"/>
      <c r="P39" s="25"/>
      <c r="Q39" s="57">
        <f t="shared" si="1"/>
        <v>0</v>
      </c>
      <c r="R39" s="58">
        <f t="shared" si="0"/>
        <v>7244.210000000001</v>
      </c>
      <c r="S39" s="59">
        <f t="shared" si="2"/>
        <v>7244.210000000001</v>
      </c>
      <c r="U39" s="62"/>
    </row>
    <row r="40" spans="1:56" s="49" customFormat="1" ht="26.25" customHeight="1" thickBot="1">
      <c r="A40" s="57"/>
      <c r="B40" s="57" t="s">
        <v>31</v>
      </c>
      <c r="C40" s="57">
        <f>SUM(C5:C39)</f>
        <v>697121.1599999999</v>
      </c>
      <c r="D40" s="57">
        <f>SUM(D5:D39)</f>
        <v>844290.2700000001</v>
      </c>
      <c r="E40" s="57">
        <f aca="true" t="shared" si="3" ref="E40:P40">SUM(E5:E39)</f>
        <v>660147.2399999999</v>
      </c>
      <c r="F40" s="57">
        <f t="shared" si="3"/>
        <v>38107.21000000001</v>
      </c>
      <c r="G40" s="57">
        <f t="shared" si="3"/>
        <v>92560.06999999999</v>
      </c>
      <c r="H40" s="57">
        <f t="shared" si="3"/>
        <v>22864.410000000003</v>
      </c>
      <c r="I40" s="57">
        <f t="shared" si="3"/>
        <v>972.73</v>
      </c>
      <c r="J40" s="57">
        <f t="shared" si="3"/>
        <v>7727.09</v>
      </c>
      <c r="K40" s="57">
        <f t="shared" si="3"/>
        <v>24110.79</v>
      </c>
      <c r="L40" s="57">
        <f t="shared" si="3"/>
        <v>57200.7</v>
      </c>
      <c r="M40" s="57">
        <f t="shared" si="3"/>
        <v>10774.98</v>
      </c>
      <c r="N40" s="57">
        <f t="shared" si="3"/>
        <v>38922.44</v>
      </c>
      <c r="O40" s="57">
        <f t="shared" si="3"/>
        <v>3925.6</v>
      </c>
      <c r="P40" s="57">
        <f t="shared" si="3"/>
        <v>41642.21</v>
      </c>
      <c r="Q40" s="57">
        <f t="shared" si="1"/>
        <v>208140.95</v>
      </c>
      <c r="R40" s="58">
        <f t="shared" si="0"/>
        <v>2540366.9</v>
      </c>
      <c r="S40" s="59">
        <f t="shared" si="2"/>
        <v>2332225.9499999997</v>
      </c>
      <c r="T40" s="4"/>
      <c r="U40" s="62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2:19" ht="15.75">
      <c r="B41" s="29"/>
      <c r="C41" s="30"/>
      <c r="D41" s="30"/>
      <c r="E41" s="30"/>
      <c r="F41" s="31"/>
      <c r="G41" s="31"/>
      <c r="H41" s="32"/>
      <c r="I41" s="30"/>
      <c r="J41" s="30"/>
      <c r="K41" s="30"/>
      <c r="L41" s="30"/>
      <c r="M41" s="30"/>
      <c r="N41" s="30"/>
      <c r="O41" s="30"/>
      <c r="P41" s="30"/>
      <c r="Q41" s="30"/>
      <c r="S41" s="32"/>
    </row>
    <row r="42" spans="2:19" ht="15.75">
      <c r="B42" s="33"/>
      <c r="C42" s="30"/>
      <c r="D42" s="30"/>
      <c r="E42" s="30"/>
      <c r="F42" s="31"/>
      <c r="G42" s="31"/>
      <c r="H42" s="32"/>
      <c r="I42" s="30"/>
      <c r="J42" s="30"/>
      <c r="K42" s="30"/>
      <c r="L42" s="30"/>
      <c r="M42" s="30"/>
      <c r="N42" s="30"/>
      <c r="O42" s="30"/>
      <c r="P42" s="30"/>
      <c r="Q42" s="30"/>
      <c r="S42" s="32"/>
    </row>
    <row r="43" spans="2:18" ht="15">
      <c r="B43" s="8"/>
      <c r="C43" s="1"/>
      <c r="D43" s="1"/>
      <c r="E43" s="1"/>
      <c r="F43" s="2"/>
      <c r="G43" s="2"/>
      <c r="H43" s="15"/>
      <c r="I43" s="1"/>
      <c r="J43" s="1"/>
      <c r="K43" s="1"/>
      <c r="L43" s="1"/>
      <c r="M43" s="1"/>
      <c r="N43" s="1"/>
      <c r="O43" s="1"/>
      <c r="P43" s="1"/>
      <c r="Q43" s="1"/>
      <c r="R43" s="3"/>
    </row>
    <row r="44" spans="2:17" ht="15">
      <c r="B44" s="8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8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8"/>
      <c r="C46" s="1"/>
      <c r="D46" s="1"/>
      <c r="E46" s="1"/>
      <c r="F46" s="2"/>
      <c r="G46" s="2"/>
      <c r="H46" s="15"/>
      <c r="I46" s="1"/>
      <c r="J46" s="1"/>
      <c r="K46" s="1"/>
      <c r="L46" s="1"/>
      <c r="M46" s="1"/>
      <c r="N46" s="1"/>
      <c r="O46" s="1"/>
      <c r="P46" s="1"/>
      <c r="Q46" s="1"/>
    </row>
    <row r="47" spans="2:19" ht="12.75">
      <c r="B47" s="14"/>
      <c r="S47" s="63"/>
    </row>
    <row r="48" spans="2:12" ht="12.75">
      <c r="B48" s="9"/>
      <c r="F48" s="3"/>
      <c r="G48" s="3"/>
      <c r="L48" s="3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spans="2:19" ht="12.75">
      <c r="B58" s="10"/>
      <c r="C58" s="4"/>
      <c r="D58" s="4"/>
      <c r="E58" s="4"/>
      <c r="F58" s="4"/>
      <c r="G58" s="4"/>
      <c r="H58" s="18"/>
      <c r="I58" s="4"/>
      <c r="J58" s="4"/>
      <c r="K58" s="4"/>
      <c r="L58" s="4"/>
      <c r="M58" s="4"/>
      <c r="N58" s="4"/>
      <c r="O58" s="4"/>
      <c r="P58" s="4"/>
      <c r="Q58" s="4"/>
      <c r="R58" s="4"/>
      <c r="S58" s="13"/>
    </row>
    <row r="59" spans="2:19" ht="12.75">
      <c r="B59" s="10"/>
      <c r="C59" s="4"/>
      <c r="D59" s="4"/>
      <c r="E59" s="4"/>
      <c r="F59" s="4"/>
      <c r="G59" s="4"/>
      <c r="H59" s="18"/>
      <c r="I59" s="4"/>
      <c r="J59" s="4"/>
      <c r="K59" s="4"/>
      <c r="L59" s="4"/>
      <c r="M59" s="4"/>
      <c r="N59" s="4"/>
      <c r="O59" s="4"/>
      <c r="P59" s="4"/>
      <c r="Q59" s="4"/>
      <c r="R59" s="4"/>
      <c r="S59" s="13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1"/>
  <sheetViews>
    <sheetView workbookViewId="0" topLeftCell="A4">
      <selection activeCell="C27" sqref="C27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77" t="s">
        <v>81</v>
      </c>
      <c r="B3" s="77"/>
      <c r="C3" s="77"/>
      <c r="D3" s="77"/>
      <c r="E3" s="77"/>
      <c r="F3" s="77"/>
      <c r="G3" s="77"/>
      <c r="H3" s="77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70</v>
      </c>
    </row>
    <row r="6" spans="1:3" ht="15.75">
      <c r="A6" s="55">
        <v>1</v>
      </c>
      <c r="B6" s="56" t="s">
        <v>6</v>
      </c>
      <c r="C6" s="67"/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/>
    </row>
    <row r="13" spans="1:3" ht="15.75">
      <c r="A13" s="55">
        <v>8</v>
      </c>
      <c r="B13" s="56" t="s">
        <v>12</v>
      </c>
      <c r="C13" s="67"/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>
        <v>439.43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1318.26</v>
      </c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/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5">
        <v>35</v>
      </c>
      <c r="B40" s="56" t="s">
        <v>71</v>
      </c>
      <c r="C40" s="67"/>
    </row>
    <row r="41" spans="1:3" ht="15.75">
      <c r="A41" s="57"/>
      <c r="B41" s="57" t="s">
        <v>31</v>
      </c>
      <c r="C41" s="68">
        <f>SUM(C6:C40)</f>
        <v>1757.69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1"/>
  <sheetViews>
    <sheetView view="pageBreakPreview" zoomScale="60" workbookViewId="0" topLeftCell="A1">
      <selection activeCell="L16" sqref="L16"/>
    </sheetView>
  </sheetViews>
  <sheetFormatPr defaultColWidth="9.140625" defaultRowHeight="12.75"/>
  <cols>
    <col min="1" max="1" width="9.28125" style="0" bestFit="1" customWidth="1"/>
    <col min="2" max="2" width="33.28125" style="0" customWidth="1"/>
    <col min="3" max="3" width="15.140625" style="0" customWidth="1"/>
    <col min="4" max="4" width="10.8515625" style="0" bestFit="1" customWidth="1"/>
    <col min="5" max="5" width="13.7109375" style="0" customWidth="1"/>
    <col min="6" max="6" width="15.00390625" style="0" customWidth="1"/>
  </cols>
  <sheetData>
    <row r="3" spans="1:9" ht="15">
      <c r="A3" s="61" t="s">
        <v>82</v>
      </c>
      <c r="B3" s="61"/>
      <c r="C3" s="61"/>
      <c r="D3" s="61"/>
      <c r="E3" s="61"/>
      <c r="F3" s="61"/>
      <c r="G3" s="61"/>
      <c r="H3" s="61"/>
      <c r="I3" s="61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30">
      <c r="A5" s="73" t="s">
        <v>0</v>
      </c>
      <c r="B5" s="73" t="s">
        <v>1</v>
      </c>
      <c r="C5" s="73" t="s">
        <v>84</v>
      </c>
      <c r="D5" s="73" t="s">
        <v>85</v>
      </c>
      <c r="E5" s="73" t="s">
        <v>86</v>
      </c>
      <c r="F5" s="74" t="s">
        <v>87</v>
      </c>
      <c r="G5" s="36"/>
      <c r="H5" s="36"/>
      <c r="I5" s="36"/>
    </row>
    <row r="6" spans="1:9" ht="15.75">
      <c r="A6" s="55">
        <v>1</v>
      </c>
      <c r="B6" s="56" t="s">
        <v>6</v>
      </c>
      <c r="C6" s="6">
        <f>1307.12+326.78</f>
        <v>1633.8999999999999</v>
      </c>
      <c r="D6" s="71"/>
      <c r="E6" s="71">
        <v>564.73</v>
      </c>
      <c r="F6" s="69">
        <f>C6+D6+E6</f>
        <v>2198.63</v>
      </c>
      <c r="G6" s="36"/>
      <c r="H6" s="36"/>
      <c r="I6" s="36"/>
    </row>
    <row r="7" spans="1:6" ht="15.75">
      <c r="A7" s="55">
        <v>2</v>
      </c>
      <c r="B7" s="56" t="s">
        <v>7</v>
      </c>
      <c r="C7" s="67">
        <v>326.78</v>
      </c>
      <c r="D7" s="72">
        <v>759.96</v>
      </c>
      <c r="E7" s="72"/>
      <c r="F7" s="69">
        <f aca="true" t="shared" si="0" ref="F7:F41">C7+D7+E7</f>
        <v>1086.74</v>
      </c>
    </row>
    <row r="8" spans="1:6" ht="15.75">
      <c r="A8" s="55">
        <v>3</v>
      </c>
      <c r="B8" s="56" t="s">
        <v>8</v>
      </c>
      <c r="C8" s="67">
        <v>326.78</v>
      </c>
      <c r="D8" s="72"/>
      <c r="E8" s="72"/>
      <c r="F8" s="69">
        <f t="shared" si="0"/>
        <v>326.78</v>
      </c>
    </row>
    <row r="9" spans="1:6" ht="15.75">
      <c r="A9" s="55">
        <v>4</v>
      </c>
      <c r="B9" s="56" t="s">
        <v>9</v>
      </c>
      <c r="C9" s="67"/>
      <c r="D9" s="72"/>
      <c r="E9" s="72"/>
      <c r="F9" s="69">
        <f t="shared" si="0"/>
        <v>0</v>
      </c>
    </row>
    <row r="10" spans="1:6" ht="15.75">
      <c r="A10" s="55">
        <v>5</v>
      </c>
      <c r="B10" s="56" t="s">
        <v>10</v>
      </c>
      <c r="C10" s="67">
        <v>326.78</v>
      </c>
      <c r="D10" s="72"/>
      <c r="E10" s="72"/>
      <c r="F10" s="69">
        <f t="shared" si="0"/>
        <v>326.78</v>
      </c>
    </row>
    <row r="11" spans="1:6" ht="15.75">
      <c r="A11" s="55">
        <v>6</v>
      </c>
      <c r="B11" s="56" t="s">
        <v>11</v>
      </c>
      <c r="C11" s="67">
        <v>326.78</v>
      </c>
      <c r="D11" s="72">
        <v>759.96</v>
      </c>
      <c r="E11" s="72">
        <v>227.22</v>
      </c>
      <c r="F11" s="69">
        <f t="shared" si="0"/>
        <v>1313.96</v>
      </c>
    </row>
    <row r="12" spans="1:6" ht="15.75">
      <c r="A12" s="55">
        <v>7</v>
      </c>
      <c r="B12" s="56" t="s">
        <v>59</v>
      </c>
      <c r="C12" s="67">
        <f>326.78+326.78</f>
        <v>653.56</v>
      </c>
      <c r="D12" s="72"/>
      <c r="E12" s="72">
        <v>150.73</v>
      </c>
      <c r="F12" s="69">
        <f t="shared" si="0"/>
        <v>804.29</v>
      </c>
    </row>
    <row r="13" spans="1:6" ht="15.75">
      <c r="A13" s="55">
        <v>8</v>
      </c>
      <c r="B13" s="56" t="s">
        <v>12</v>
      </c>
      <c r="C13" s="67">
        <v>326.78</v>
      </c>
      <c r="D13" s="72"/>
      <c r="E13" s="72"/>
      <c r="F13" s="69">
        <f t="shared" si="0"/>
        <v>326.78</v>
      </c>
    </row>
    <row r="14" spans="1:6" ht="15.75">
      <c r="A14" s="55">
        <v>9</v>
      </c>
      <c r="B14" s="56" t="s">
        <v>13</v>
      </c>
      <c r="C14" s="67">
        <v>1960.68</v>
      </c>
      <c r="D14" s="72"/>
      <c r="E14" s="72"/>
      <c r="F14" s="69">
        <f t="shared" si="0"/>
        <v>1960.68</v>
      </c>
    </row>
    <row r="15" spans="1:6" ht="15.75">
      <c r="A15" s="55">
        <v>10</v>
      </c>
      <c r="B15" s="56" t="s">
        <v>14</v>
      </c>
      <c r="C15" s="67">
        <f>326.77+326.78</f>
        <v>653.55</v>
      </c>
      <c r="D15" s="72"/>
      <c r="E15" s="72">
        <f>163.23+313.96</f>
        <v>477.18999999999994</v>
      </c>
      <c r="F15" s="69">
        <f t="shared" si="0"/>
        <v>1130.7399999999998</v>
      </c>
    </row>
    <row r="16" spans="1:6" ht="15.75">
      <c r="A16" s="55">
        <v>11</v>
      </c>
      <c r="B16" s="56" t="s">
        <v>15</v>
      </c>
      <c r="C16" s="67">
        <v>653.56</v>
      </c>
      <c r="D16" s="72"/>
      <c r="E16" s="72">
        <v>313.96</v>
      </c>
      <c r="F16" s="69">
        <f t="shared" si="0"/>
        <v>967.52</v>
      </c>
    </row>
    <row r="17" spans="1:6" ht="15.75">
      <c r="A17" s="55">
        <v>12</v>
      </c>
      <c r="B17" s="56" t="s">
        <v>16</v>
      </c>
      <c r="C17" s="67">
        <v>653.56</v>
      </c>
      <c r="D17" s="72"/>
      <c r="E17" s="72"/>
      <c r="F17" s="69">
        <f t="shared" si="0"/>
        <v>653.56</v>
      </c>
    </row>
    <row r="18" spans="1:6" ht="15.75">
      <c r="A18" s="55">
        <v>13</v>
      </c>
      <c r="B18" s="56" t="s">
        <v>17</v>
      </c>
      <c r="C18" s="67">
        <v>326.78</v>
      </c>
      <c r="D18" s="72"/>
      <c r="E18" s="72">
        <v>163.23</v>
      </c>
      <c r="F18" s="69">
        <f t="shared" si="0"/>
        <v>490.01</v>
      </c>
    </row>
    <row r="19" spans="1:6" ht="15.75">
      <c r="A19" s="55">
        <v>14</v>
      </c>
      <c r="B19" s="56" t="s">
        <v>18</v>
      </c>
      <c r="C19" s="67"/>
      <c r="D19" s="72"/>
      <c r="E19" s="72">
        <v>160.37</v>
      </c>
      <c r="F19" s="69">
        <f t="shared" si="0"/>
        <v>160.37</v>
      </c>
    </row>
    <row r="20" spans="1:6" ht="15.75">
      <c r="A20" s="55">
        <v>15</v>
      </c>
      <c r="B20" s="56" t="s">
        <v>19</v>
      </c>
      <c r="C20" s="67"/>
      <c r="D20" s="72"/>
      <c r="E20" s="72"/>
      <c r="F20" s="69">
        <f t="shared" si="0"/>
        <v>0</v>
      </c>
    </row>
    <row r="21" spans="1:6" ht="15.75">
      <c r="A21" s="55">
        <v>16</v>
      </c>
      <c r="B21" s="56" t="s">
        <v>20</v>
      </c>
      <c r="C21" s="67">
        <v>326.78</v>
      </c>
      <c r="D21" s="72"/>
      <c r="E21" s="72"/>
      <c r="F21" s="69">
        <f t="shared" si="0"/>
        <v>326.78</v>
      </c>
    </row>
    <row r="22" spans="1:6" ht="15.75">
      <c r="A22" s="55">
        <v>17</v>
      </c>
      <c r="B22" s="56" t="s">
        <v>21</v>
      </c>
      <c r="C22" s="67">
        <v>653.56</v>
      </c>
      <c r="D22" s="72"/>
      <c r="E22" s="72"/>
      <c r="F22" s="69">
        <f t="shared" si="0"/>
        <v>653.56</v>
      </c>
    </row>
    <row r="23" spans="1:6" ht="15.75">
      <c r="A23" s="55">
        <v>18</v>
      </c>
      <c r="B23" s="56" t="s">
        <v>22</v>
      </c>
      <c r="C23" s="67">
        <v>653.55</v>
      </c>
      <c r="D23" s="72"/>
      <c r="E23" s="72"/>
      <c r="F23" s="69">
        <f t="shared" si="0"/>
        <v>653.55</v>
      </c>
    </row>
    <row r="24" spans="1:6" ht="15.75">
      <c r="A24" s="55">
        <v>19</v>
      </c>
      <c r="B24" s="56" t="s">
        <v>23</v>
      </c>
      <c r="C24" s="67"/>
      <c r="D24" s="72"/>
      <c r="E24" s="72"/>
      <c r="F24" s="69">
        <f t="shared" si="0"/>
        <v>0</v>
      </c>
    </row>
    <row r="25" spans="1:6" ht="15.75">
      <c r="A25" s="55">
        <v>20</v>
      </c>
      <c r="B25" s="56" t="s">
        <v>24</v>
      </c>
      <c r="C25" s="67"/>
      <c r="D25" s="72"/>
      <c r="E25" s="72"/>
      <c r="F25" s="69">
        <f t="shared" si="0"/>
        <v>0</v>
      </c>
    </row>
    <row r="26" spans="1:6" ht="15.75">
      <c r="A26" s="55">
        <v>21</v>
      </c>
      <c r="B26" s="56" t="s">
        <v>25</v>
      </c>
      <c r="C26" s="67">
        <f>326.77+980.31+326.77+326.77</f>
        <v>1960.62</v>
      </c>
      <c r="D26" s="72"/>
      <c r="E26" s="72">
        <f>137.45+150.72+301.44</f>
        <v>589.6099999999999</v>
      </c>
      <c r="F26" s="69">
        <f t="shared" si="0"/>
        <v>2550.2299999999996</v>
      </c>
    </row>
    <row r="27" spans="1:6" ht="15.75">
      <c r="A27" s="55">
        <v>22</v>
      </c>
      <c r="B27" s="56" t="s">
        <v>26</v>
      </c>
      <c r="C27" s="67"/>
      <c r="D27" s="72"/>
      <c r="E27" s="72"/>
      <c r="F27" s="69">
        <f t="shared" si="0"/>
        <v>0</v>
      </c>
    </row>
    <row r="28" spans="1:6" ht="15.75">
      <c r="A28" s="55">
        <v>23</v>
      </c>
      <c r="B28" s="56" t="s">
        <v>27</v>
      </c>
      <c r="C28" s="67">
        <v>653.56</v>
      </c>
      <c r="D28" s="72"/>
      <c r="E28" s="72">
        <v>163.23</v>
      </c>
      <c r="F28" s="69">
        <f t="shared" si="0"/>
        <v>816.79</v>
      </c>
    </row>
    <row r="29" spans="1:6" ht="15.75">
      <c r="A29" s="55">
        <v>24</v>
      </c>
      <c r="B29" s="56" t="s">
        <v>28</v>
      </c>
      <c r="C29" s="67"/>
      <c r="D29" s="72"/>
      <c r="E29" s="72"/>
      <c r="F29" s="69">
        <f t="shared" si="0"/>
        <v>0</v>
      </c>
    </row>
    <row r="30" spans="1:6" ht="15.75">
      <c r="A30" s="55">
        <v>25</v>
      </c>
      <c r="B30" s="56" t="s">
        <v>29</v>
      </c>
      <c r="C30" s="67">
        <v>1307.12</v>
      </c>
      <c r="D30" s="72"/>
      <c r="E30" s="72"/>
      <c r="F30" s="69">
        <f t="shared" si="0"/>
        <v>1307.12</v>
      </c>
    </row>
    <row r="31" spans="1:6" ht="15.75">
      <c r="A31" s="55">
        <v>26</v>
      </c>
      <c r="B31" s="56" t="s">
        <v>30</v>
      </c>
      <c r="C31" s="67">
        <v>326.78</v>
      </c>
      <c r="D31" s="72"/>
      <c r="E31" s="72">
        <v>160.37</v>
      </c>
      <c r="F31" s="69">
        <f t="shared" si="0"/>
        <v>487.15</v>
      </c>
    </row>
    <row r="32" spans="1:6" ht="15.75">
      <c r="A32" s="55">
        <v>27</v>
      </c>
      <c r="B32" s="56" t="s">
        <v>40</v>
      </c>
      <c r="C32" s="67">
        <v>326.78</v>
      </c>
      <c r="D32" s="72"/>
      <c r="E32" s="72"/>
      <c r="F32" s="69">
        <f t="shared" si="0"/>
        <v>326.78</v>
      </c>
    </row>
    <row r="33" spans="1:6" ht="15.75">
      <c r="A33" s="55">
        <v>28</v>
      </c>
      <c r="B33" s="56" t="s">
        <v>41</v>
      </c>
      <c r="C33" s="67">
        <v>653.56</v>
      </c>
      <c r="D33" s="72"/>
      <c r="E33" s="72"/>
      <c r="F33" s="69">
        <f t="shared" si="0"/>
        <v>653.56</v>
      </c>
    </row>
    <row r="34" spans="1:6" ht="15.75">
      <c r="A34" s="55">
        <v>29</v>
      </c>
      <c r="B34" s="56" t="s">
        <v>42</v>
      </c>
      <c r="C34" s="67">
        <v>980.34</v>
      </c>
      <c r="D34" s="72"/>
      <c r="E34" s="72"/>
      <c r="F34" s="69">
        <f t="shared" si="0"/>
        <v>980.34</v>
      </c>
    </row>
    <row r="35" spans="1:6" ht="15.75">
      <c r="A35" s="55">
        <v>30</v>
      </c>
      <c r="B35" s="56" t="s">
        <v>44</v>
      </c>
      <c r="C35" s="67"/>
      <c r="D35" s="72"/>
      <c r="E35" s="72"/>
      <c r="F35" s="69">
        <f t="shared" si="0"/>
        <v>0</v>
      </c>
    </row>
    <row r="36" spans="1:6" ht="15.75">
      <c r="A36" s="55">
        <v>31</v>
      </c>
      <c r="B36" s="56" t="s">
        <v>45</v>
      </c>
      <c r="C36" s="67"/>
      <c r="D36" s="72"/>
      <c r="E36" s="72"/>
      <c r="F36" s="69">
        <f t="shared" si="0"/>
        <v>0</v>
      </c>
    </row>
    <row r="37" spans="1:6" ht="15.75">
      <c r="A37" s="55">
        <v>32</v>
      </c>
      <c r="B37" s="56" t="s">
        <v>47</v>
      </c>
      <c r="C37" s="67">
        <v>326.78</v>
      </c>
      <c r="D37" s="72"/>
      <c r="E37" s="72">
        <v>326.46</v>
      </c>
      <c r="F37" s="69">
        <f t="shared" si="0"/>
        <v>653.24</v>
      </c>
    </row>
    <row r="38" spans="1:6" ht="15.75">
      <c r="A38" s="55">
        <v>33</v>
      </c>
      <c r="B38" s="56" t="s">
        <v>60</v>
      </c>
      <c r="C38" s="67">
        <v>326.78</v>
      </c>
      <c r="D38" s="72"/>
      <c r="E38" s="72"/>
      <c r="F38" s="69">
        <f t="shared" si="0"/>
        <v>326.78</v>
      </c>
    </row>
    <row r="39" spans="1:6" ht="15.75">
      <c r="A39" s="55">
        <v>34</v>
      </c>
      <c r="B39" s="56" t="s">
        <v>61</v>
      </c>
      <c r="C39" s="67">
        <v>326.78</v>
      </c>
      <c r="D39" s="72"/>
      <c r="E39" s="72"/>
      <c r="F39" s="69">
        <f t="shared" si="0"/>
        <v>326.78</v>
      </c>
    </row>
    <row r="40" spans="1:6" ht="15.75">
      <c r="A40" s="55">
        <v>35</v>
      </c>
      <c r="B40" s="56" t="s">
        <v>71</v>
      </c>
      <c r="C40" s="67">
        <v>653.56</v>
      </c>
      <c r="D40" s="72"/>
      <c r="E40" s="72"/>
      <c r="F40" s="69">
        <f t="shared" si="0"/>
        <v>653.56</v>
      </c>
    </row>
    <row r="41" spans="1:6" ht="15.75">
      <c r="A41" s="57"/>
      <c r="B41" s="57" t="s">
        <v>31</v>
      </c>
      <c r="C41" s="68">
        <f>SUM(C6:C40)</f>
        <v>17646.039999999997</v>
      </c>
      <c r="D41" s="68">
        <f>SUM(D6:D40)</f>
        <v>1519.92</v>
      </c>
      <c r="E41" s="68">
        <f>SUM(E6:E40)</f>
        <v>3297.1</v>
      </c>
      <c r="F41" s="69">
        <f t="shared" si="0"/>
        <v>22463.059999999998</v>
      </c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1">
      <selection activeCell="C15" sqref="C15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83</v>
      </c>
      <c r="B3" s="61"/>
      <c r="C3" s="61"/>
      <c r="D3" s="61"/>
      <c r="E3" s="61"/>
      <c r="F3" s="61"/>
    </row>
    <row r="4" spans="1:6" ht="14.25">
      <c r="A4" s="79"/>
      <c r="B4" s="79"/>
      <c r="C4" s="79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67</v>
      </c>
      <c r="D5" s="51" t="s">
        <v>68</v>
      </c>
    </row>
    <row r="6" spans="1:4" ht="15.75">
      <c r="A6" s="55">
        <v>1</v>
      </c>
      <c r="B6" s="56" t="s">
        <v>6</v>
      </c>
      <c r="C6" s="67"/>
      <c r="D6" s="67"/>
    </row>
    <row r="7" spans="1:4" ht="15.75">
      <c r="A7" s="55">
        <v>2</v>
      </c>
      <c r="B7" s="56" t="s">
        <v>7</v>
      </c>
      <c r="C7" s="67"/>
      <c r="D7" s="67"/>
    </row>
    <row r="8" spans="1:4" ht="15.75">
      <c r="A8" s="55">
        <v>3</v>
      </c>
      <c r="B8" s="56" t="s">
        <v>8</v>
      </c>
      <c r="C8" s="67"/>
      <c r="D8" s="67"/>
    </row>
    <row r="9" spans="1:4" ht="15.75">
      <c r="A9" s="55">
        <v>4</v>
      </c>
      <c r="B9" s="56" t="s">
        <v>9</v>
      </c>
      <c r="C9" s="67"/>
      <c r="D9" s="67"/>
    </row>
    <row r="10" spans="1:4" ht="15.75">
      <c r="A10" s="55">
        <v>5</v>
      </c>
      <c r="B10" s="56" t="s">
        <v>10</v>
      </c>
      <c r="C10" s="67"/>
      <c r="D10" s="67"/>
    </row>
    <row r="11" spans="1:4" ht="15.75">
      <c r="A11" s="55">
        <v>6</v>
      </c>
      <c r="B11" s="56" t="s">
        <v>11</v>
      </c>
      <c r="C11" s="67"/>
      <c r="D11" s="67"/>
    </row>
    <row r="12" spans="1:4" ht="15.75">
      <c r="A12" s="55">
        <v>7</v>
      </c>
      <c r="B12" s="56" t="s">
        <v>59</v>
      </c>
      <c r="C12" s="67"/>
      <c r="D12" s="67">
        <v>6157.66</v>
      </c>
    </row>
    <row r="13" spans="1:4" ht="15.75">
      <c r="A13" s="55">
        <v>8</v>
      </c>
      <c r="B13" s="56" t="s">
        <v>12</v>
      </c>
      <c r="C13" s="67"/>
      <c r="D13" s="67"/>
    </row>
    <row r="14" spans="1:4" ht="15.75">
      <c r="A14" s="55">
        <v>9</v>
      </c>
      <c r="B14" s="56" t="s">
        <v>13</v>
      </c>
      <c r="C14" s="67">
        <v>9316.35</v>
      </c>
      <c r="D14" s="67"/>
    </row>
    <row r="15" spans="1:4" ht="15.75">
      <c r="A15" s="55">
        <v>10</v>
      </c>
      <c r="B15" s="56" t="s">
        <v>14</v>
      </c>
      <c r="C15" s="67"/>
      <c r="D15" s="67"/>
    </row>
    <row r="16" spans="1:4" ht="15.75">
      <c r="A16" s="55">
        <v>11</v>
      </c>
      <c r="B16" s="56" t="s">
        <v>15</v>
      </c>
      <c r="C16" s="67"/>
      <c r="D16" s="67"/>
    </row>
    <row r="17" spans="1:4" ht="15.75">
      <c r="A17" s="55">
        <v>12</v>
      </c>
      <c r="B17" s="56" t="s">
        <v>16</v>
      </c>
      <c r="C17" s="67"/>
      <c r="D17" s="67"/>
    </row>
    <row r="18" spans="1:4" ht="15.75">
      <c r="A18" s="55">
        <v>13</v>
      </c>
      <c r="B18" s="56" t="s">
        <v>17</v>
      </c>
      <c r="C18" s="67">
        <v>3272.79</v>
      </c>
      <c r="D18" s="67">
        <v>12860.24</v>
      </c>
    </row>
    <row r="19" spans="1:4" ht="15.75">
      <c r="A19" s="55">
        <v>14</v>
      </c>
      <c r="B19" s="56" t="s">
        <v>18</v>
      </c>
      <c r="C19" s="67"/>
      <c r="D19" s="67"/>
    </row>
    <row r="20" spans="1:4" ht="15.75">
      <c r="A20" s="55">
        <v>15</v>
      </c>
      <c r="B20" s="56" t="s">
        <v>19</v>
      </c>
      <c r="C20" s="67"/>
      <c r="D20" s="67"/>
    </row>
    <row r="21" spans="1:4" ht="15.75">
      <c r="A21" s="55">
        <v>16</v>
      </c>
      <c r="B21" s="56" t="s">
        <v>20</v>
      </c>
      <c r="C21" s="67"/>
      <c r="D21" s="67"/>
    </row>
    <row r="22" spans="1:4" ht="15.75">
      <c r="A22" s="55">
        <v>17</v>
      </c>
      <c r="B22" s="56" t="s">
        <v>21</v>
      </c>
      <c r="C22" s="67"/>
      <c r="D22" s="67"/>
    </row>
    <row r="23" spans="1:4" ht="15.75">
      <c r="A23" s="55">
        <v>18</v>
      </c>
      <c r="B23" s="56" t="s">
        <v>22</v>
      </c>
      <c r="C23" s="67"/>
      <c r="D23" s="67">
        <v>2797.99</v>
      </c>
    </row>
    <row r="24" spans="1:4" ht="15.75">
      <c r="A24" s="55">
        <v>19</v>
      </c>
      <c r="B24" s="56" t="s">
        <v>23</v>
      </c>
      <c r="C24" s="67"/>
      <c r="D24" s="67"/>
    </row>
    <row r="25" spans="1:4" ht="15.75">
      <c r="A25" s="55">
        <v>20</v>
      </c>
      <c r="B25" s="56" t="s">
        <v>24</v>
      </c>
      <c r="C25" s="67"/>
      <c r="D25" s="67"/>
    </row>
    <row r="26" spans="1:4" ht="15.75">
      <c r="A26" s="55">
        <v>21</v>
      </c>
      <c r="B26" s="56" t="s">
        <v>25</v>
      </c>
      <c r="C26" s="67">
        <v>337.68</v>
      </c>
      <c r="D26" s="67"/>
    </row>
    <row r="27" spans="1:4" ht="15.75">
      <c r="A27" s="55">
        <v>22</v>
      </c>
      <c r="B27" s="56" t="s">
        <v>26</v>
      </c>
      <c r="C27" s="67"/>
      <c r="D27" s="67"/>
    </row>
    <row r="28" spans="1:4" ht="15.75">
      <c r="A28" s="55">
        <v>23</v>
      </c>
      <c r="B28" s="56" t="s">
        <v>27</v>
      </c>
      <c r="C28" s="67"/>
      <c r="D28" s="67"/>
    </row>
    <row r="29" spans="1:4" ht="15.75">
      <c r="A29" s="55">
        <v>24</v>
      </c>
      <c r="B29" s="56" t="s">
        <v>28</v>
      </c>
      <c r="C29" s="67"/>
      <c r="D29" s="67"/>
    </row>
    <row r="30" spans="1:4" ht="15.75">
      <c r="A30" s="55">
        <v>25</v>
      </c>
      <c r="B30" s="56" t="s">
        <v>29</v>
      </c>
      <c r="C30" s="67"/>
      <c r="D30" s="67"/>
    </row>
    <row r="31" spans="1:4" ht="15.75">
      <c r="A31" s="55">
        <v>26</v>
      </c>
      <c r="B31" s="56" t="s">
        <v>30</v>
      </c>
      <c r="C31" s="67"/>
      <c r="D31" s="67"/>
    </row>
    <row r="32" spans="1:4" ht="15.75">
      <c r="A32" s="55">
        <v>27</v>
      </c>
      <c r="B32" s="56" t="s">
        <v>40</v>
      </c>
      <c r="C32" s="67"/>
      <c r="D32" s="67"/>
    </row>
    <row r="33" spans="1:4" ht="15.75">
      <c r="A33" s="55">
        <v>28</v>
      </c>
      <c r="B33" s="56" t="s">
        <v>41</v>
      </c>
      <c r="C33" s="67"/>
      <c r="D33" s="67">
        <v>2760.7</v>
      </c>
    </row>
    <row r="34" spans="1:4" ht="15.75">
      <c r="A34" s="55">
        <v>29</v>
      </c>
      <c r="B34" s="56" t="s">
        <v>42</v>
      </c>
      <c r="C34" s="67"/>
      <c r="D34" s="67"/>
    </row>
    <row r="35" spans="1:4" ht="15.75">
      <c r="A35" s="55">
        <v>30</v>
      </c>
      <c r="B35" s="56" t="s">
        <v>44</v>
      </c>
      <c r="C35" s="67"/>
      <c r="D35" s="67"/>
    </row>
    <row r="36" spans="1:4" ht="15.75">
      <c r="A36" s="55">
        <v>31</v>
      </c>
      <c r="B36" s="56" t="s">
        <v>45</v>
      </c>
      <c r="C36" s="67"/>
      <c r="D36" s="67"/>
    </row>
    <row r="37" spans="1:4" ht="15.75">
      <c r="A37" s="55">
        <v>32</v>
      </c>
      <c r="B37" s="56" t="s">
        <v>47</v>
      </c>
      <c r="C37" s="67"/>
      <c r="D37" s="67"/>
    </row>
    <row r="38" spans="1:4" ht="15.75">
      <c r="A38" s="55">
        <v>33</v>
      </c>
      <c r="B38" s="56" t="s">
        <v>60</v>
      </c>
      <c r="C38" s="67"/>
      <c r="D38" s="67"/>
    </row>
    <row r="39" spans="1:4" ht="15.75">
      <c r="A39" s="55">
        <v>34</v>
      </c>
      <c r="B39" s="56" t="s">
        <v>61</v>
      </c>
      <c r="C39" s="67"/>
      <c r="D39" s="67"/>
    </row>
    <row r="40" spans="1:4" ht="15.75">
      <c r="A40" s="55">
        <v>35</v>
      </c>
      <c r="B40" s="56" t="s">
        <v>71</v>
      </c>
      <c r="C40" s="67"/>
      <c r="D40" s="67"/>
    </row>
    <row r="41" spans="1:4" ht="15.75">
      <c r="A41" s="57"/>
      <c r="B41" s="57" t="s">
        <v>31</v>
      </c>
      <c r="C41" s="68">
        <f>SUM(C6:C40)</f>
        <v>12926.82</v>
      </c>
      <c r="D41" s="68">
        <f>SUM(D6:D40)</f>
        <v>24576.59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2"/>
  <sheetViews>
    <sheetView view="pageBreakPreview" zoomScale="60" workbookViewId="0" topLeftCell="B1">
      <selection activeCell="C7" sqref="C7:C41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5" t="s">
        <v>73</v>
      </c>
      <c r="B3" s="75"/>
      <c r="C3" s="75"/>
      <c r="D3" s="75"/>
      <c r="E3" s="75"/>
      <c r="F3" s="75"/>
      <c r="G3" s="76"/>
    </row>
    <row r="4" spans="1:6" ht="15">
      <c r="A4" s="34"/>
      <c r="B4" s="35"/>
      <c r="C4" s="35"/>
      <c r="D4" s="34"/>
      <c r="E4" s="34"/>
      <c r="F4" s="34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50" t="s">
        <v>0</v>
      </c>
      <c r="B6" s="51" t="s">
        <v>1</v>
      </c>
      <c r="C6" s="46" t="s">
        <v>32</v>
      </c>
      <c r="D6" s="46" t="s">
        <v>33</v>
      </c>
      <c r="E6" s="47" t="s">
        <v>34</v>
      </c>
      <c r="F6" s="36"/>
    </row>
    <row r="7" spans="1:9" ht="15.75">
      <c r="A7" s="55">
        <v>1</v>
      </c>
      <c r="B7" s="56" t="s">
        <v>6</v>
      </c>
      <c r="C7" s="44">
        <v>6857.9</v>
      </c>
      <c r="D7" s="44">
        <v>5485.46</v>
      </c>
      <c r="E7" s="45">
        <f>C7+D7</f>
        <v>12343.36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2845.99</v>
      </c>
      <c r="D8" s="6">
        <v>2276.86</v>
      </c>
      <c r="E8" s="45">
        <f aca="true" t="shared" si="0" ref="E8:E42">C8+D8</f>
        <v>5122.85</v>
      </c>
      <c r="F8" s="36"/>
      <c r="H8" s="3"/>
    </row>
    <row r="9" spans="1:8" ht="15.75">
      <c r="A9" s="55">
        <v>3</v>
      </c>
      <c r="B9" s="56" t="s">
        <v>8</v>
      </c>
      <c r="C9" s="1">
        <v>3506.12</v>
      </c>
      <c r="D9" s="6">
        <v>2804.97</v>
      </c>
      <c r="E9" s="45">
        <f t="shared" si="0"/>
        <v>6311.09</v>
      </c>
      <c r="F9" s="36"/>
      <c r="H9" s="3"/>
    </row>
    <row r="10" spans="1:8" ht="15.75">
      <c r="A10" s="55">
        <v>4</v>
      </c>
      <c r="B10" s="56" t="s">
        <v>9</v>
      </c>
      <c r="C10" s="6">
        <v>4848.86</v>
      </c>
      <c r="D10" s="6">
        <v>3879.27</v>
      </c>
      <c r="E10" s="45">
        <f t="shared" si="0"/>
        <v>8728.13</v>
      </c>
      <c r="F10" s="36"/>
      <c r="H10" s="3"/>
    </row>
    <row r="11" spans="1:8" ht="15.75">
      <c r="A11" s="55">
        <v>5</v>
      </c>
      <c r="B11" s="56" t="s">
        <v>10</v>
      </c>
      <c r="C11" s="6">
        <v>2989.36</v>
      </c>
      <c r="D11" s="6">
        <v>2391.36</v>
      </c>
      <c r="E11" s="45">
        <f t="shared" si="0"/>
        <v>5380.72</v>
      </c>
      <c r="F11" s="36"/>
      <c r="H11" s="3"/>
    </row>
    <row r="12" spans="1:8" ht="15.75">
      <c r="A12" s="55">
        <v>6</v>
      </c>
      <c r="B12" s="56" t="s">
        <v>11</v>
      </c>
      <c r="C12" s="6">
        <v>5112.16</v>
      </c>
      <c r="D12" s="6">
        <v>4089.67</v>
      </c>
      <c r="E12" s="45">
        <f t="shared" si="0"/>
        <v>9201.83</v>
      </c>
      <c r="F12" s="36"/>
      <c r="H12" s="3"/>
    </row>
    <row r="13" spans="1:8" ht="15.75">
      <c r="A13" s="55">
        <v>7</v>
      </c>
      <c r="B13" s="56" t="s">
        <v>59</v>
      </c>
      <c r="C13" s="6">
        <v>7541.12</v>
      </c>
      <c r="D13" s="6">
        <v>6033.28</v>
      </c>
      <c r="E13" s="45">
        <f t="shared" si="0"/>
        <v>13574.4</v>
      </c>
      <c r="F13" s="36"/>
      <c r="H13" s="3"/>
    </row>
    <row r="14" spans="1:8" ht="15.75">
      <c r="A14" s="55">
        <v>8</v>
      </c>
      <c r="B14" s="56" t="s">
        <v>12</v>
      </c>
      <c r="C14" s="6">
        <v>662.66</v>
      </c>
      <c r="D14" s="6">
        <v>530.15</v>
      </c>
      <c r="E14" s="45">
        <f t="shared" si="0"/>
        <v>1192.81</v>
      </c>
      <c r="F14" s="36"/>
      <c r="H14" s="3"/>
    </row>
    <row r="15" spans="1:8" ht="15.75">
      <c r="A15" s="55">
        <v>9</v>
      </c>
      <c r="B15" s="56" t="s">
        <v>13</v>
      </c>
      <c r="C15" s="6">
        <v>2880.63</v>
      </c>
      <c r="D15" s="6">
        <v>2304.48</v>
      </c>
      <c r="E15" s="45">
        <f t="shared" si="0"/>
        <v>5185.110000000001</v>
      </c>
      <c r="F15" s="36"/>
      <c r="H15" s="3"/>
    </row>
    <row r="16" spans="1:8" ht="15.75">
      <c r="A16" s="55">
        <v>10</v>
      </c>
      <c r="B16" s="56" t="s">
        <v>14</v>
      </c>
      <c r="C16" s="6">
        <v>9670.9</v>
      </c>
      <c r="D16" s="6">
        <v>7737.21</v>
      </c>
      <c r="E16" s="45">
        <f t="shared" si="0"/>
        <v>17408.11</v>
      </c>
      <c r="F16" s="36"/>
      <c r="H16" s="3"/>
    </row>
    <row r="17" spans="1:8" ht="15.75">
      <c r="A17" s="55">
        <v>11</v>
      </c>
      <c r="B17" s="56" t="s">
        <v>15</v>
      </c>
      <c r="C17" s="6">
        <v>5513.54</v>
      </c>
      <c r="D17" s="6">
        <v>4410.82</v>
      </c>
      <c r="E17" s="45">
        <f t="shared" si="0"/>
        <v>9924.36</v>
      </c>
      <c r="F17" s="36"/>
      <c r="H17" s="3"/>
    </row>
    <row r="18" spans="1:8" ht="15.75">
      <c r="A18" s="55">
        <v>12</v>
      </c>
      <c r="B18" s="56" t="s">
        <v>16</v>
      </c>
      <c r="C18" s="6">
        <v>605.47</v>
      </c>
      <c r="D18" s="6">
        <v>484.39</v>
      </c>
      <c r="E18" s="45">
        <f t="shared" si="0"/>
        <v>1089.8600000000001</v>
      </c>
      <c r="F18" s="36"/>
      <c r="H18" s="3"/>
    </row>
    <row r="19" spans="1:8" ht="15.75">
      <c r="A19" s="55">
        <v>13</v>
      </c>
      <c r="B19" s="56" t="s">
        <v>17</v>
      </c>
      <c r="C19" s="6">
        <v>3809.05</v>
      </c>
      <c r="D19" s="6">
        <v>3047.32</v>
      </c>
      <c r="E19" s="45">
        <f t="shared" si="0"/>
        <v>6856.370000000001</v>
      </c>
      <c r="F19" s="36"/>
      <c r="H19" s="3"/>
    </row>
    <row r="20" spans="1:8" ht="15.75">
      <c r="A20" s="55">
        <v>14</v>
      </c>
      <c r="B20" s="56" t="s">
        <v>18</v>
      </c>
      <c r="C20" s="6">
        <v>4920.86</v>
      </c>
      <c r="D20" s="6">
        <v>3936.91</v>
      </c>
      <c r="E20" s="45">
        <f t="shared" si="0"/>
        <v>8857.77</v>
      </c>
      <c r="F20" s="36"/>
      <c r="H20" s="3"/>
    </row>
    <row r="21" spans="1:8" ht="15.75">
      <c r="A21" s="55">
        <v>15</v>
      </c>
      <c r="B21" s="56" t="s">
        <v>19</v>
      </c>
      <c r="C21" s="6">
        <v>0</v>
      </c>
      <c r="D21" s="6">
        <v>0</v>
      </c>
      <c r="E21" s="45">
        <f t="shared" si="0"/>
        <v>0</v>
      </c>
      <c r="F21" s="36"/>
      <c r="H21" s="3"/>
    </row>
    <row r="22" spans="1:8" ht="15.75">
      <c r="A22" s="55">
        <v>16</v>
      </c>
      <c r="B22" s="56" t="s">
        <v>20</v>
      </c>
      <c r="C22" s="6">
        <v>1165.29</v>
      </c>
      <c r="D22" s="6">
        <v>932.22</v>
      </c>
      <c r="E22" s="45">
        <f t="shared" si="0"/>
        <v>2097.51</v>
      </c>
      <c r="F22" s="36"/>
      <c r="H22" s="3"/>
    </row>
    <row r="23" spans="1:8" ht="15.75">
      <c r="A23" s="55">
        <v>17</v>
      </c>
      <c r="B23" s="56" t="s">
        <v>21</v>
      </c>
      <c r="C23" s="6">
        <v>2796.78</v>
      </c>
      <c r="D23" s="6">
        <v>2237.48</v>
      </c>
      <c r="E23" s="45">
        <f t="shared" si="0"/>
        <v>5034.26</v>
      </c>
      <c r="F23" s="36"/>
      <c r="H23" s="3"/>
    </row>
    <row r="24" spans="1:8" ht="15.75">
      <c r="A24" s="55">
        <v>18</v>
      </c>
      <c r="B24" s="56" t="s">
        <v>22</v>
      </c>
      <c r="C24" s="6">
        <v>6369.45</v>
      </c>
      <c r="D24" s="6">
        <v>5096.3</v>
      </c>
      <c r="E24" s="45">
        <f t="shared" si="0"/>
        <v>11465.75</v>
      </c>
      <c r="F24" s="36"/>
      <c r="H24" s="3"/>
    </row>
    <row r="25" spans="1:8" ht="15.75">
      <c r="A25" s="55">
        <v>19</v>
      </c>
      <c r="B25" s="56" t="s">
        <v>23</v>
      </c>
      <c r="C25" s="6">
        <v>793.14</v>
      </c>
      <c r="D25" s="6">
        <v>634.47</v>
      </c>
      <c r="E25" s="45">
        <f t="shared" si="0"/>
        <v>1427.6100000000001</v>
      </c>
      <c r="F25" s="36"/>
      <c r="H25" s="3"/>
    </row>
    <row r="26" spans="1:8" ht="15.75">
      <c r="A26" s="55">
        <v>20</v>
      </c>
      <c r="B26" s="56" t="s">
        <v>24</v>
      </c>
      <c r="C26" s="6">
        <v>3608.72</v>
      </c>
      <c r="D26" s="6">
        <v>2886.95</v>
      </c>
      <c r="E26" s="45">
        <f t="shared" si="0"/>
        <v>6495.67</v>
      </c>
      <c r="F26" s="36"/>
      <c r="H26" s="3"/>
    </row>
    <row r="27" spans="1:8" ht="15.75">
      <c r="A27" s="55">
        <v>21</v>
      </c>
      <c r="B27" s="56" t="s">
        <v>25</v>
      </c>
      <c r="C27" s="6">
        <v>5587.05</v>
      </c>
      <c r="D27" s="6">
        <v>4470.51</v>
      </c>
      <c r="E27" s="45">
        <f t="shared" si="0"/>
        <v>10057.560000000001</v>
      </c>
      <c r="F27" s="36"/>
      <c r="H27" s="3"/>
    </row>
    <row r="28" spans="1:8" ht="15.75">
      <c r="A28" s="55">
        <v>22</v>
      </c>
      <c r="B28" s="56" t="s">
        <v>26</v>
      </c>
      <c r="C28" s="6">
        <v>94.38</v>
      </c>
      <c r="D28" s="6">
        <v>75.5</v>
      </c>
      <c r="E28" s="45">
        <f t="shared" si="0"/>
        <v>169.88</v>
      </c>
      <c r="F28" s="36"/>
      <c r="H28" s="3"/>
    </row>
    <row r="29" spans="1:8" ht="15.75">
      <c r="A29" s="55">
        <v>23</v>
      </c>
      <c r="B29" s="56" t="s">
        <v>27</v>
      </c>
      <c r="C29" s="6">
        <v>1648.23</v>
      </c>
      <c r="D29" s="6">
        <v>1318.6</v>
      </c>
      <c r="E29" s="45">
        <f t="shared" si="0"/>
        <v>2966.83</v>
      </c>
      <c r="F29" s="36"/>
      <c r="H29" s="3"/>
    </row>
    <row r="30" spans="1:8" ht="15.75">
      <c r="A30" s="55">
        <v>24</v>
      </c>
      <c r="B30" s="56" t="s">
        <v>28</v>
      </c>
      <c r="C30" s="6">
        <v>2384.7</v>
      </c>
      <c r="D30" s="6">
        <v>1907.85</v>
      </c>
      <c r="E30" s="45">
        <f t="shared" si="0"/>
        <v>4292.549999999999</v>
      </c>
      <c r="F30" s="36"/>
      <c r="H30" s="3"/>
    </row>
    <row r="31" spans="1:8" ht="15.75">
      <c r="A31" s="55">
        <v>25</v>
      </c>
      <c r="B31" s="56" t="s">
        <v>29</v>
      </c>
      <c r="C31" s="6">
        <v>7142.38</v>
      </c>
      <c r="D31" s="6">
        <v>5713.79</v>
      </c>
      <c r="E31" s="45">
        <f t="shared" si="0"/>
        <v>12856.17</v>
      </c>
      <c r="F31" s="36"/>
      <c r="H31" s="3"/>
    </row>
    <row r="32" spans="1:8" ht="15.75">
      <c r="A32" s="55">
        <v>26</v>
      </c>
      <c r="B32" s="56" t="s">
        <v>30</v>
      </c>
      <c r="C32" s="6">
        <v>8303.93</v>
      </c>
      <c r="D32" s="6">
        <v>6643.52</v>
      </c>
      <c r="E32" s="45">
        <f t="shared" si="0"/>
        <v>14947.45</v>
      </c>
      <c r="F32" s="36"/>
      <c r="H32" s="3"/>
    </row>
    <row r="33" spans="1:8" ht="15.75">
      <c r="A33" s="55">
        <v>27</v>
      </c>
      <c r="B33" s="56" t="s">
        <v>40</v>
      </c>
      <c r="C33" s="6">
        <v>951.64</v>
      </c>
      <c r="D33" s="6">
        <v>761.33</v>
      </c>
      <c r="E33" s="45">
        <f t="shared" si="0"/>
        <v>1712.97</v>
      </c>
      <c r="F33" s="36"/>
      <c r="H33" s="3"/>
    </row>
    <row r="34" spans="1:8" ht="15.75">
      <c r="A34" s="55">
        <v>28</v>
      </c>
      <c r="B34" s="56" t="s">
        <v>41</v>
      </c>
      <c r="C34" s="6">
        <v>4208.48</v>
      </c>
      <c r="D34" s="6">
        <v>3366.94</v>
      </c>
      <c r="E34" s="45">
        <f t="shared" si="0"/>
        <v>7575.42</v>
      </c>
      <c r="F34" s="36"/>
      <c r="H34" s="3"/>
    </row>
    <row r="35" spans="1:8" ht="15.75">
      <c r="A35" s="55">
        <v>29</v>
      </c>
      <c r="B35" s="56" t="s">
        <v>42</v>
      </c>
      <c r="C35" s="6">
        <v>4943.74</v>
      </c>
      <c r="D35" s="6">
        <v>3955.14</v>
      </c>
      <c r="E35" s="45">
        <f t="shared" si="0"/>
        <v>8898.88</v>
      </c>
      <c r="F35" s="36"/>
      <c r="H35" s="3"/>
    </row>
    <row r="36" spans="1:8" ht="15.75">
      <c r="A36" s="55">
        <v>30</v>
      </c>
      <c r="B36" s="56" t="s">
        <v>44</v>
      </c>
      <c r="C36" s="6">
        <v>1422.14</v>
      </c>
      <c r="D36" s="6">
        <v>1137.72</v>
      </c>
      <c r="E36" s="45">
        <f t="shared" si="0"/>
        <v>2559.86</v>
      </c>
      <c r="F36" s="36"/>
      <c r="H36" s="3"/>
    </row>
    <row r="37" spans="1:8" ht="15.75">
      <c r="A37" s="55">
        <v>31</v>
      </c>
      <c r="B37" s="56" t="s">
        <v>45</v>
      </c>
      <c r="C37" s="6">
        <v>0</v>
      </c>
      <c r="D37" s="6">
        <v>0</v>
      </c>
      <c r="E37" s="45">
        <f t="shared" si="0"/>
        <v>0</v>
      </c>
      <c r="F37" s="36"/>
      <c r="H37" s="3"/>
    </row>
    <row r="38" spans="1:8" ht="15.75">
      <c r="A38" s="55">
        <v>32</v>
      </c>
      <c r="B38" s="56" t="s">
        <v>47</v>
      </c>
      <c r="C38" s="6">
        <v>2039.97</v>
      </c>
      <c r="D38" s="6">
        <v>1632.14</v>
      </c>
      <c r="E38" s="45">
        <f t="shared" si="0"/>
        <v>3672.11</v>
      </c>
      <c r="F38" s="36"/>
      <c r="H38" s="3"/>
    </row>
    <row r="39" spans="1:8" ht="15.75">
      <c r="A39" s="55">
        <v>33</v>
      </c>
      <c r="B39" s="56" t="s">
        <v>60</v>
      </c>
      <c r="C39" s="6">
        <v>188.84</v>
      </c>
      <c r="D39" s="6">
        <v>151.07</v>
      </c>
      <c r="E39" s="45">
        <f t="shared" si="0"/>
        <v>339.90999999999997</v>
      </c>
      <c r="F39" s="36"/>
      <c r="H39" s="3"/>
    </row>
    <row r="40" spans="1:8" ht="15.75">
      <c r="A40" s="55">
        <v>34</v>
      </c>
      <c r="B40" s="56" t="s">
        <v>61</v>
      </c>
      <c r="C40" s="6">
        <v>1107.39</v>
      </c>
      <c r="D40" s="6">
        <v>885.94</v>
      </c>
      <c r="E40" s="45">
        <f t="shared" si="0"/>
        <v>1993.3300000000002</v>
      </c>
      <c r="F40" s="36"/>
      <c r="H40" s="3"/>
    </row>
    <row r="41" spans="1:8" ht="15.75">
      <c r="A41" s="55">
        <v>35</v>
      </c>
      <c r="B41" s="56" t="s">
        <v>71</v>
      </c>
      <c r="C41" s="6">
        <v>20.13</v>
      </c>
      <c r="D41" s="6">
        <v>16.11</v>
      </c>
      <c r="E41" s="45">
        <f t="shared" si="0"/>
        <v>36.239999999999995</v>
      </c>
      <c r="F41" s="36"/>
      <c r="H41" s="3"/>
    </row>
    <row r="42" spans="1:8" ht="15.75">
      <c r="A42" s="57"/>
      <c r="B42" s="57" t="s">
        <v>31</v>
      </c>
      <c r="C42" s="69">
        <f>SUM(C7:C41)</f>
        <v>116541.00000000001</v>
      </c>
      <c r="D42" s="69">
        <f>SUM(D7:D41)</f>
        <v>93235.73000000003</v>
      </c>
      <c r="E42" s="45">
        <f t="shared" si="0"/>
        <v>209776.73000000004</v>
      </c>
      <c r="F42" s="36"/>
      <c r="H42" s="3"/>
    </row>
    <row r="44" ht="12.75">
      <c r="D44" s="3"/>
    </row>
    <row r="45" ht="12.75">
      <c r="C45" s="3"/>
    </row>
    <row r="46" ht="12.75">
      <c r="E46" s="3"/>
    </row>
    <row r="52" ht="12.75">
      <c r="C52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0"/>
  <sheetViews>
    <sheetView tabSelected="1" workbookViewId="0" topLeftCell="A1">
      <selection activeCell="E40" sqref="E40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5" width="13.140625" style="0" bestFit="1" customWidth="1"/>
  </cols>
  <sheetData>
    <row r="3" spans="1:7" ht="15">
      <c r="A3" s="77" t="s">
        <v>74</v>
      </c>
      <c r="B3" s="77"/>
      <c r="C3" s="77"/>
      <c r="D3" s="77"/>
      <c r="E3" s="77"/>
      <c r="F3" s="77"/>
      <c r="G3" s="77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35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70">
        <v>24761.7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70">
        <v>23083.75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70">
        <v>13225.04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70">
        <v>4898.54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70">
        <v>32598.6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70">
        <v>63279.45</v>
      </c>
      <c r="D11" s="1"/>
      <c r="E11" s="1"/>
      <c r="F11" s="36"/>
      <c r="G11" s="36"/>
    </row>
    <row r="12" spans="1:7" ht="15.75">
      <c r="A12" s="55">
        <v>7</v>
      </c>
      <c r="B12" s="56" t="s">
        <v>59</v>
      </c>
      <c r="C12" s="70">
        <v>20365.38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70">
        <v>32854.86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70">
        <v>24694.08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70">
        <v>40951.4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70">
        <v>23468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70">
        <v>2557.69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70">
        <v>12734.87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70">
        <v>1985.04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70"/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70">
        <v>1835.62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70">
        <v>4298.41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70">
        <v>20229.36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70">
        <v>1143.91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70">
        <v>3721.77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70">
        <v>33576.49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70">
        <v>5267.4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70">
        <v>6369.93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70">
        <v>5434.24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70">
        <v>12305.44</v>
      </c>
      <c r="D30" s="1"/>
      <c r="E30" s="1"/>
      <c r="F30" s="36"/>
      <c r="G30" s="36"/>
    </row>
    <row r="31" spans="1:7" ht="15.75">
      <c r="A31" s="55">
        <v>26</v>
      </c>
      <c r="B31" s="56" t="s">
        <v>30</v>
      </c>
      <c r="C31" s="70">
        <v>11273.77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70">
        <v>338.54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70">
        <v>10167.28</v>
      </c>
      <c r="D33" s="1"/>
      <c r="E33" s="1"/>
      <c r="F33" s="36"/>
      <c r="G33" s="36"/>
    </row>
    <row r="34" spans="1:7" ht="15.75">
      <c r="A34" s="55">
        <v>29</v>
      </c>
      <c r="B34" s="56" t="s">
        <v>42</v>
      </c>
      <c r="C34" s="70">
        <v>16542.38</v>
      </c>
      <c r="D34" s="1"/>
      <c r="E34" s="1"/>
      <c r="F34" s="36"/>
      <c r="G34" s="36"/>
    </row>
    <row r="35" spans="1:7" ht="15.75">
      <c r="A35" s="55">
        <v>30</v>
      </c>
      <c r="B35" s="56" t="s">
        <v>44</v>
      </c>
      <c r="C35" s="70">
        <v>2465.85</v>
      </c>
      <c r="D35" s="1"/>
      <c r="E35" s="1"/>
      <c r="F35" s="36"/>
      <c r="G35" s="36"/>
    </row>
    <row r="36" spans="1:7" ht="15.75">
      <c r="A36" s="55">
        <v>31</v>
      </c>
      <c r="B36" s="56" t="s">
        <v>45</v>
      </c>
      <c r="C36" s="70"/>
      <c r="D36" s="1"/>
      <c r="E36" s="1"/>
      <c r="F36" s="36"/>
      <c r="G36" s="36"/>
    </row>
    <row r="37" spans="1:7" ht="15.75">
      <c r="A37" s="55">
        <v>32</v>
      </c>
      <c r="B37" s="56" t="s">
        <v>47</v>
      </c>
      <c r="C37" s="70">
        <v>337.5</v>
      </c>
      <c r="D37" s="1"/>
      <c r="E37" s="1"/>
      <c r="F37" s="36"/>
      <c r="G37" s="36"/>
    </row>
    <row r="38" spans="1:7" ht="15.75">
      <c r="A38" s="55">
        <v>33</v>
      </c>
      <c r="B38" s="56" t="s">
        <v>60</v>
      </c>
      <c r="C38" s="70">
        <v>661.14</v>
      </c>
      <c r="D38" s="1"/>
      <c r="E38" s="1"/>
      <c r="F38" s="36"/>
      <c r="G38" s="36"/>
    </row>
    <row r="39" spans="1:7" ht="15.75">
      <c r="A39" s="55">
        <v>34</v>
      </c>
      <c r="B39" s="56" t="s">
        <v>61</v>
      </c>
      <c r="C39" s="70">
        <v>1683.21</v>
      </c>
      <c r="D39" s="1"/>
      <c r="E39" s="1"/>
      <c r="F39" s="36"/>
      <c r="G39" s="36"/>
    </row>
    <row r="40" spans="1:7" ht="15.75">
      <c r="A40" s="55">
        <v>35</v>
      </c>
      <c r="B40" s="56" t="s">
        <v>71</v>
      </c>
      <c r="C40" s="70">
        <v>432.55</v>
      </c>
      <c r="D40" s="1"/>
      <c r="E40" s="1"/>
      <c r="F40" s="36"/>
      <c r="G40" s="36"/>
    </row>
    <row r="41" spans="1:7" ht="15.75">
      <c r="A41" s="57"/>
      <c r="B41" s="57" t="s">
        <v>31</v>
      </c>
      <c r="C41" s="7">
        <f>SUM(C6:C40)</f>
        <v>459543.19</v>
      </c>
      <c r="D41" s="1"/>
      <c r="E41" s="1"/>
      <c r="F41" s="36"/>
      <c r="G41" s="36"/>
    </row>
    <row r="42" spans="1:7" ht="14.25">
      <c r="A42" s="36"/>
      <c r="B42" s="36"/>
      <c r="C42" s="38"/>
      <c r="D42" s="1"/>
      <c r="E42" s="1"/>
      <c r="F42" s="36"/>
      <c r="G42" s="36"/>
    </row>
    <row r="43" spans="1:7" ht="14.25">
      <c r="A43" s="36"/>
      <c r="B43" s="36"/>
      <c r="C43" s="38"/>
      <c r="D43" s="1"/>
      <c r="E43" s="36"/>
      <c r="F43" s="36"/>
      <c r="G43" s="36"/>
    </row>
    <row r="44" ht="12.75">
      <c r="C44" s="3"/>
    </row>
    <row r="45" spans="2:4" ht="12.75">
      <c r="B45" s="3"/>
      <c r="C45" s="3"/>
      <c r="D45" s="5"/>
    </row>
    <row r="46" spans="3:4" ht="12.75">
      <c r="C46" s="3"/>
      <c r="D46" s="3"/>
    </row>
    <row r="47" spans="3:4" ht="12.75">
      <c r="C47" s="3"/>
      <c r="D47" s="3"/>
    </row>
    <row r="49" spans="3:4" ht="12.75">
      <c r="C49" s="3"/>
      <c r="D49" s="3"/>
    </row>
    <row r="50" ht="12.75">
      <c r="D50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2"/>
  <sheetViews>
    <sheetView workbookViewId="0" topLeftCell="A2">
      <selection activeCell="D42" sqref="D42"/>
    </sheetView>
  </sheetViews>
  <sheetFormatPr defaultColWidth="9.140625" defaultRowHeight="12.75"/>
  <cols>
    <col min="2" max="2" width="31.57421875" style="0" customWidth="1"/>
    <col min="3" max="3" width="13.7109375" style="0" customWidth="1"/>
  </cols>
  <sheetData>
    <row r="4" spans="1:8" ht="12.75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65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15545.98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>
        <v>1368.86</v>
      </c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7"/>
    </row>
    <row r="10" spans="1:3" ht="15.75">
      <c r="A10" s="55">
        <v>4</v>
      </c>
      <c r="B10" s="56" t="s">
        <v>9</v>
      </c>
      <c r="C10" s="67">
        <v>1807.95</v>
      </c>
    </row>
    <row r="11" spans="1:3" ht="15.75">
      <c r="A11" s="55">
        <v>5</v>
      </c>
      <c r="B11" s="56" t="s">
        <v>10</v>
      </c>
      <c r="C11" s="67">
        <v>4328.98</v>
      </c>
    </row>
    <row r="12" spans="1:3" ht="15.75">
      <c r="A12" s="55">
        <v>6</v>
      </c>
      <c r="B12" s="56" t="s">
        <v>11</v>
      </c>
      <c r="C12" s="67">
        <v>7056.78</v>
      </c>
    </row>
    <row r="13" spans="1:3" ht="15.75">
      <c r="A13" s="55">
        <v>7</v>
      </c>
      <c r="B13" s="56" t="s">
        <v>59</v>
      </c>
      <c r="C13" s="67">
        <v>1504.16</v>
      </c>
    </row>
    <row r="14" spans="1:3" ht="15.75">
      <c r="A14" s="55">
        <v>8</v>
      </c>
      <c r="B14" s="56" t="s">
        <v>12</v>
      </c>
      <c r="C14" s="67">
        <v>11989.01</v>
      </c>
    </row>
    <row r="15" spans="1:3" ht="15.75">
      <c r="A15" s="55">
        <v>9</v>
      </c>
      <c r="B15" s="56" t="s">
        <v>13</v>
      </c>
      <c r="C15" s="67">
        <v>7895.26</v>
      </c>
    </row>
    <row r="16" spans="1:3" ht="15.75">
      <c r="A16" s="55">
        <v>10</v>
      </c>
      <c r="B16" s="56" t="s">
        <v>14</v>
      </c>
      <c r="C16" s="67">
        <v>7585.36</v>
      </c>
    </row>
    <row r="17" spans="1:3" ht="15.75">
      <c r="A17" s="55">
        <v>11</v>
      </c>
      <c r="B17" s="56" t="s">
        <v>15</v>
      </c>
      <c r="C17" s="67">
        <v>6236.09</v>
      </c>
    </row>
    <row r="18" spans="1:3" ht="15.75">
      <c r="A18" s="55">
        <v>12</v>
      </c>
      <c r="B18" s="56" t="s">
        <v>16</v>
      </c>
      <c r="C18" s="67">
        <v>4453</v>
      </c>
    </row>
    <row r="19" spans="1:3" ht="15.75">
      <c r="A19" s="55">
        <v>13</v>
      </c>
      <c r="B19" s="56" t="s">
        <v>17</v>
      </c>
      <c r="C19" s="67">
        <v>13094.87</v>
      </c>
    </row>
    <row r="20" spans="1:3" ht="15.75">
      <c r="A20" s="55">
        <v>14</v>
      </c>
      <c r="B20" s="56" t="s">
        <v>18</v>
      </c>
      <c r="C20" s="67"/>
    </row>
    <row r="21" spans="1:3" ht="15.75">
      <c r="A21" s="55">
        <v>15</v>
      </c>
      <c r="B21" s="56" t="s">
        <v>19</v>
      </c>
      <c r="C21" s="67"/>
    </row>
    <row r="22" spans="1:3" ht="15.75">
      <c r="A22" s="55">
        <v>16</v>
      </c>
      <c r="B22" s="56" t="s">
        <v>20</v>
      </c>
      <c r="C22" s="67"/>
    </row>
    <row r="23" spans="1:3" ht="15.75">
      <c r="A23" s="55">
        <v>17</v>
      </c>
      <c r="B23" s="56" t="s">
        <v>21</v>
      </c>
      <c r="C23" s="67">
        <v>4805.07</v>
      </c>
    </row>
    <row r="24" spans="1:3" ht="15.75">
      <c r="A24" s="55">
        <v>18</v>
      </c>
      <c r="B24" s="56" t="s">
        <v>22</v>
      </c>
      <c r="C24" s="67">
        <v>1848.93</v>
      </c>
    </row>
    <row r="25" spans="1:3" ht="15.75">
      <c r="A25" s="55">
        <v>19</v>
      </c>
      <c r="B25" s="56" t="s">
        <v>23</v>
      </c>
      <c r="C25" s="67">
        <v>776.79</v>
      </c>
    </row>
    <row r="26" spans="1:3" ht="15.75">
      <c r="A26" s="55">
        <v>20</v>
      </c>
      <c r="B26" s="56" t="s">
        <v>24</v>
      </c>
      <c r="C26" s="67"/>
    </row>
    <row r="27" spans="1:3" ht="15.75">
      <c r="A27" s="55">
        <v>21</v>
      </c>
      <c r="B27" s="56" t="s">
        <v>25</v>
      </c>
      <c r="C27" s="67">
        <v>2133.61</v>
      </c>
    </row>
    <row r="28" spans="1:3" ht="15.75">
      <c r="A28" s="55">
        <v>22</v>
      </c>
      <c r="B28" s="56" t="s">
        <v>26</v>
      </c>
      <c r="C28" s="67">
        <v>6303.18</v>
      </c>
    </row>
    <row r="29" spans="1:3" ht="15.75">
      <c r="A29" s="55">
        <v>23</v>
      </c>
      <c r="B29" s="56" t="s">
        <v>27</v>
      </c>
      <c r="C29" s="67">
        <v>1151.96</v>
      </c>
    </row>
    <row r="30" spans="1:3" ht="15.75">
      <c r="A30" s="55">
        <v>24</v>
      </c>
      <c r="B30" s="56" t="s">
        <v>28</v>
      </c>
      <c r="C30" s="67"/>
    </row>
    <row r="31" spans="1:3" ht="15.75">
      <c r="A31" s="55">
        <v>25</v>
      </c>
      <c r="B31" s="56" t="s">
        <v>29</v>
      </c>
      <c r="C31" s="67">
        <v>4044.34</v>
      </c>
    </row>
    <row r="32" spans="1:3" ht="15.75">
      <c r="A32" s="55">
        <v>26</v>
      </c>
      <c r="B32" s="56" t="s">
        <v>30</v>
      </c>
      <c r="C32" s="67">
        <v>2225.67</v>
      </c>
    </row>
    <row r="33" spans="1:3" ht="15.75">
      <c r="A33" s="55">
        <v>27</v>
      </c>
      <c r="B33" s="56" t="s">
        <v>40</v>
      </c>
      <c r="C33" s="67"/>
    </row>
    <row r="34" spans="1:3" ht="15.75">
      <c r="A34" s="55">
        <v>28</v>
      </c>
      <c r="B34" s="56" t="s">
        <v>41</v>
      </c>
      <c r="C34" s="67">
        <v>1790.76</v>
      </c>
    </row>
    <row r="35" spans="1:3" ht="15.75">
      <c r="A35" s="55">
        <v>29</v>
      </c>
      <c r="B35" s="56" t="s">
        <v>42</v>
      </c>
      <c r="C35" s="67">
        <v>3687.47</v>
      </c>
    </row>
    <row r="36" spans="1:3" ht="15.75">
      <c r="A36" s="55">
        <v>30</v>
      </c>
      <c r="B36" s="56" t="s">
        <v>44</v>
      </c>
      <c r="C36" s="67"/>
    </row>
    <row r="37" spans="1:3" ht="15.75">
      <c r="A37" s="55">
        <v>31</v>
      </c>
      <c r="B37" s="56" t="s">
        <v>45</v>
      </c>
      <c r="C37" s="67"/>
    </row>
    <row r="38" spans="1:3" ht="15.75">
      <c r="A38" s="55">
        <v>32</v>
      </c>
      <c r="B38" s="56" t="s">
        <v>47</v>
      </c>
      <c r="C38" s="67"/>
    </row>
    <row r="39" spans="1:3" ht="15.75">
      <c r="A39" s="55">
        <v>33</v>
      </c>
      <c r="B39" s="56" t="s">
        <v>60</v>
      </c>
      <c r="C39" s="67"/>
    </row>
    <row r="40" spans="1:3" ht="15.75">
      <c r="A40" s="55">
        <v>34</v>
      </c>
      <c r="B40" s="56" t="s">
        <v>61</v>
      </c>
      <c r="C40" s="67"/>
    </row>
    <row r="41" spans="1:3" ht="15.75">
      <c r="A41" s="55">
        <v>35</v>
      </c>
      <c r="B41" s="56" t="s">
        <v>71</v>
      </c>
      <c r="C41" s="67">
        <v>597.56</v>
      </c>
    </row>
    <row r="42" spans="1:3" ht="15.75">
      <c r="A42" s="57"/>
      <c r="B42" s="57" t="s">
        <v>31</v>
      </c>
      <c r="C42" s="68">
        <f>SUM(C7:C41)</f>
        <v>112231.63999999997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3"/>
  <sheetViews>
    <sheetView workbookViewId="0" topLeftCell="A1">
      <selection activeCell="N39" sqref="N39"/>
    </sheetView>
  </sheetViews>
  <sheetFormatPr defaultColWidth="9.140625" defaultRowHeight="12.75"/>
  <cols>
    <col min="2" max="2" width="31.28125" style="0" customWidth="1"/>
    <col min="3" max="3" width="13.710937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78" t="s">
        <v>76</v>
      </c>
      <c r="B3" s="78"/>
      <c r="C3" s="78"/>
      <c r="D3" s="78"/>
      <c r="E3" s="78"/>
      <c r="F3" s="78"/>
      <c r="G3" s="78"/>
    </row>
    <row r="4" spans="1:7" ht="15">
      <c r="A4" s="79"/>
      <c r="B4" s="79"/>
      <c r="C4" s="41" t="s">
        <v>36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37</v>
      </c>
      <c r="D5" s="42" t="s">
        <v>38</v>
      </c>
      <c r="E5" s="43" t="s">
        <v>39</v>
      </c>
      <c r="F5" s="36"/>
      <c r="G5" s="36"/>
    </row>
    <row r="6" spans="1:7" ht="15.75">
      <c r="A6" s="55">
        <v>1</v>
      </c>
      <c r="B6" s="56" t="s">
        <v>6</v>
      </c>
      <c r="C6" s="6">
        <v>25081.17</v>
      </c>
      <c r="D6" s="6">
        <v>50469.39</v>
      </c>
      <c r="E6" s="7">
        <f>C6+D6</f>
        <v>75550.56</v>
      </c>
      <c r="F6" s="36"/>
      <c r="G6" s="36"/>
    </row>
    <row r="7" spans="1:7" ht="15.75">
      <c r="A7" s="55">
        <v>2</v>
      </c>
      <c r="B7" s="56" t="s">
        <v>7</v>
      </c>
      <c r="C7" s="6">
        <f>3351.58+2158.22</f>
        <v>5509.799999999999</v>
      </c>
      <c r="D7" s="6">
        <f>7299.72+3185.01</f>
        <v>10484.73</v>
      </c>
      <c r="E7" s="7">
        <f aca="true" t="shared" si="0" ref="E7:E40">C7+D7</f>
        <v>15994.529999999999</v>
      </c>
      <c r="F7" s="36"/>
      <c r="G7" s="36"/>
    </row>
    <row r="8" spans="1:7" ht="15.75">
      <c r="A8" s="55">
        <v>3</v>
      </c>
      <c r="B8" s="56" t="s">
        <v>8</v>
      </c>
      <c r="C8" s="6">
        <f>573.33+260.8</f>
        <v>834.1300000000001</v>
      </c>
      <c r="D8" s="6">
        <f>1160.35+1435.9</f>
        <v>2596.25</v>
      </c>
      <c r="E8" s="7">
        <f t="shared" si="0"/>
        <v>3430.38</v>
      </c>
      <c r="F8" s="36"/>
      <c r="G8" s="36"/>
    </row>
    <row r="9" spans="1:7" ht="15.75">
      <c r="A9" s="55">
        <v>4</v>
      </c>
      <c r="B9" s="56" t="s">
        <v>9</v>
      </c>
      <c r="C9" s="6">
        <v>1674.21</v>
      </c>
      <c r="D9" s="6">
        <v>4502.17</v>
      </c>
      <c r="E9" s="7">
        <f t="shared" si="0"/>
        <v>6176.38</v>
      </c>
      <c r="F9" s="36"/>
      <c r="G9" s="36"/>
    </row>
    <row r="10" spans="1:7" ht="15.75">
      <c r="A10" s="55">
        <v>5</v>
      </c>
      <c r="B10" s="56" t="s">
        <v>10</v>
      </c>
      <c r="C10" s="6">
        <v>7499.76</v>
      </c>
      <c r="D10" s="6">
        <v>17505.75</v>
      </c>
      <c r="E10" s="7">
        <f t="shared" si="0"/>
        <v>25005.510000000002</v>
      </c>
      <c r="F10" s="36"/>
      <c r="G10" s="36"/>
    </row>
    <row r="11" spans="1:7" ht="15.75">
      <c r="A11" s="55">
        <v>6</v>
      </c>
      <c r="B11" s="56" t="s">
        <v>11</v>
      </c>
      <c r="C11" s="6">
        <f>10617.12+4517.36+7715.33</f>
        <v>22849.809999999998</v>
      </c>
      <c r="D11" s="6">
        <f>36088.97+9582.25+18464.12</f>
        <v>64135.34</v>
      </c>
      <c r="E11" s="7">
        <f t="shared" si="0"/>
        <v>86985.15</v>
      </c>
      <c r="F11" s="36"/>
      <c r="G11" s="36"/>
    </row>
    <row r="12" spans="1:7" ht="15.75">
      <c r="A12" s="55">
        <v>7</v>
      </c>
      <c r="B12" s="56" t="s">
        <v>59</v>
      </c>
      <c r="C12" s="6">
        <f>1774.85+4460.96+78.53+1054.59+2988.83+1593.79+3687.49</f>
        <v>15639.039999999999</v>
      </c>
      <c r="D12" s="6">
        <f>3954.08+11018.27+551.59+2504.18+3761.3+2429.17+7268.95</f>
        <v>31487.539999999997</v>
      </c>
      <c r="E12" s="7">
        <f t="shared" si="0"/>
        <v>47126.579999999994</v>
      </c>
      <c r="F12" s="36"/>
      <c r="G12" s="36"/>
    </row>
    <row r="13" spans="1:7" ht="15.75">
      <c r="A13" s="55">
        <v>8</v>
      </c>
      <c r="B13" s="56" t="s">
        <v>12</v>
      </c>
      <c r="C13" s="6">
        <v>43638.92</v>
      </c>
      <c r="D13" s="6">
        <v>94508.83</v>
      </c>
      <c r="E13" s="7">
        <f t="shared" si="0"/>
        <v>138147.75</v>
      </c>
      <c r="F13" s="36"/>
      <c r="G13" s="36"/>
    </row>
    <row r="14" spans="1:7" ht="15.75">
      <c r="A14" s="55">
        <v>9</v>
      </c>
      <c r="B14" s="56" t="s">
        <v>13</v>
      </c>
      <c r="C14" s="6">
        <f>8215.86+1733.98</f>
        <v>9949.84</v>
      </c>
      <c r="D14" s="6">
        <f>24171.9+7594.72</f>
        <v>31766.620000000003</v>
      </c>
      <c r="E14" s="7">
        <f t="shared" si="0"/>
        <v>41716.46000000001</v>
      </c>
      <c r="F14" s="36"/>
      <c r="G14" s="36"/>
    </row>
    <row r="15" spans="1:7" ht="15.75">
      <c r="A15" s="55">
        <v>10</v>
      </c>
      <c r="B15" s="56" t="s">
        <v>14</v>
      </c>
      <c r="C15" s="6">
        <f>4605.55+2491.91+9009.95</f>
        <v>16107.41</v>
      </c>
      <c r="D15" s="6">
        <f>8135.83+3129.96+13765.67</f>
        <v>25031.46</v>
      </c>
      <c r="E15" s="7">
        <f t="shared" si="0"/>
        <v>41138.869999999995</v>
      </c>
      <c r="F15" s="36"/>
      <c r="G15" s="36"/>
    </row>
    <row r="16" spans="1:7" ht="15.75">
      <c r="A16" s="55">
        <v>11</v>
      </c>
      <c r="B16" s="56" t="s">
        <v>15</v>
      </c>
      <c r="C16" s="6">
        <v>17124.94</v>
      </c>
      <c r="D16" s="6">
        <v>25341.92</v>
      </c>
      <c r="E16" s="7">
        <f t="shared" si="0"/>
        <v>42466.86</v>
      </c>
      <c r="F16" s="36"/>
      <c r="G16" s="36"/>
    </row>
    <row r="17" spans="1:7" ht="15.75">
      <c r="A17" s="55">
        <v>12</v>
      </c>
      <c r="B17" s="56" t="s">
        <v>16</v>
      </c>
      <c r="C17" s="6">
        <v>1803.15</v>
      </c>
      <c r="D17" s="6">
        <v>8056.46</v>
      </c>
      <c r="E17" s="7">
        <f t="shared" si="0"/>
        <v>9859.61</v>
      </c>
      <c r="F17" s="36"/>
      <c r="G17" s="36"/>
    </row>
    <row r="18" spans="1:7" ht="15.75">
      <c r="A18" s="55">
        <v>13</v>
      </c>
      <c r="B18" s="56" t="s">
        <v>17</v>
      </c>
      <c r="C18" s="6">
        <v>8162.79</v>
      </c>
      <c r="D18" s="6">
        <v>28163.18</v>
      </c>
      <c r="E18" s="7">
        <f t="shared" si="0"/>
        <v>36325.97</v>
      </c>
      <c r="F18" s="36"/>
      <c r="G18" s="36"/>
    </row>
    <row r="19" spans="1:7" ht="15.75">
      <c r="A19" s="55">
        <v>14</v>
      </c>
      <c r="B19" s="56" t="s">
        <v>18</v>
      </c>
      <c r="C19" s="6">
        <v>0</v>
      </c>
      <c r="D19" s="6">
        <v>0</v>
      </c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>
        <v>0</v>
      </c>
      <c r="D20" s="6">
        <v>0</v>
      </c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>
        <v>0</v>
      </c>
      <c r="D21" s="6">
        <v>0</v>
      </c>
      <c r="E21" s="7">
        <f t="shared" si="0"/>
        <v>0</v>
      </c>
      <c r="F21" s="36"/>
      <c r="G21" s="36"/>
    </row>
    <row r="22" spans="1:7" ht="15.75">
      <c r="A22" s="55">
        <v>17</v>
      </c>
      <c r="B22" s="56" t="s">
        <v>21</v>
      </c>
      <c r="C22" s="6">
        <v>6552.49</v>
      </c>
      <c r="D22" s="6">
        <v>17022.21</v>
      </c>
      <c r="E22" s="7">
        <f t="shared" si="0"/>
        <v>23574.699999999997</v>
      </c>
      <c r="F22" s="36"/>
      <c r="G22" s="36"/>
    </row>
    <row r="23" spans="1:7" ht="15.75">
      <c r="A23" s="55">
        <v>18</v>
      </c>
      <c r="B23" s="56" t="s">
        <v>22</v>
      </c>
      <c r="C23" s="6">
        <f>2171.97+182.52+2708.58+1958.27</f>
        <v>7021.34</v>
      </c>
      <c r="D23" s="6">
        <f>7445.42+1234.24+8846.06+1057.22</f>
        <v>18582.940000000002</v>
      </c>
      <c r="E23" s="7">
        <f t="shared" si="0"/>
        <v>25604.280000000002</v>
      </c>
      <c r="F23" s="36"/>
      <c r="G23" s="36"/>
    </row>
    <row r="24" spans="1:7" ht="15.75">
      <c r="A24" s="55">
        <v>19</v>
      </c>
      <c r="B24" s="56" t="s">
        <v>23</v>
      </c>
      <c r="C24" s="6">
        <v>121.68</v>
      </c>
      <c r="D24" s="6">
        <v>884.4</v>
      </c>
      <c r="E24" s="7">
        <f t="shared" si="0"/>
        <v>1006.0799999999999</v>
      </c>
      <c r="F24" s="36"/>
      <c r="G24" s="36"/>
    </row>
    <row r="25" spans="1:7" ht="15.75">
      <c r="A25" s="55">
        <v>20</v>
      </c>
      <c r="B25" s="56" t="s">
        <v>24</v>
      </c>
      <c r="C25" s="6">
        <v>182.52</v>
      </c>
      <c r="D25" s="6">
        <v>1068.76</v>
      </c>
      <c r="E25" s="7">
        <f t="shared" si="0"/>
        <v>1251.28</v>
      </c>
      <c r="F25" s="36"/>
      <c r="G25" s="36"/>
    </row>
    <row r="26" spans="1:7" ht="15.75">
      <c r="A26" s="55">
        <v>21</v>
      </c>
      <c r="B26" s="56" t="s">
        <v>25</v>
      </c>
      <c r="C26" s="6">
        <f>4960.81+5895.69+382.41</f>
        <v>11238.91</v>
      </c>
      <c r="D26" s="6">
        <f>11943.05+14385.68+965.28</f>
        <v>27294.01</v>
      </c>
      <c r="E26" s="7">
        <f t="shared" si="0"/>
        <v>38532.92</v>
      </c>
      <c r="F26" s="36"/>
      <c r="G26" s="36"/>
    </row>
    <row r="27" spans="1:7" ht="15.75">
      <c r="A27" s="55">
        <v>22</v>
      </c>
      <c r="B27" s="56" t="s">
        <v>26</v>
      </c>
      <c r="C27" s="6">
        <v>2992.61</v>
      </c>
      <c r="D27" s="6">
        <v>13806.76</v>
      </c>
      <c r="E27" s="7">
        <f t="shared" si="0"/>
        <v>16799.37</v>
      </c>
      <c r="F27" s="36"/>
      <c r="G27" s="36"/>
    </row>
    <row r="28" spans="1:7" ht="15.75">
      <c r="A28" s="55">
        <v>23</v>
      </c>
      <c r="B28" s="56" t="s">
        <v>27</v>
      </c>
      <c r="C28" s="6">
        <f>252.07+235.08</f>
        <v>487.15</v>
      </c>
      <c r="D28" s="6">
        <f>1067.2+413.69</f>
        <v>1480.89</v>
      </c>
      <c r="E28" s="7">
        <f t="shared" si="0"/>
        <v>1968.04</v>
      </c>
      <c r="F28" s="36"/>
      <c r="G28" s="36"/>
    </row>
    <row r="29" spans="1:7" ht="15.75">
      <c r="A29" s="55">
        <v>24</v>
      </c>
      <c r="B29" s="56" t="s">
        <v>28</v>
      </c>
      <c r="C29" s="6">
        <v>0</v>
      </c>
      <c r="D29" s="6">
        <v>0</v>
      </c>
      <c r="E29" s="7">
        <f t="shared" si="0"/>
        <v>0</v>
      </c>
      <c r="F29" s="36"/>
      <c r="G29" s="36"/>
    </row>
    <row r="30" spans="1:7" ht="15.75">
      <c r="A30" s="55">
        <v>25</v>
      </c>
      <c r="B30" s="56" t="s">
        <v>29</v>
      </c>
      <c r="C30" s="6">
        <f>2244.83+4082.8+2616.36</f>
        <v>8943.99</v>
      </c>
      <c r="D30" s="6">
        <f>2906.01+7519.04+3016.02</f>
        <v>13441.07</v>
      </c>
      <c r="E30" s="7">
        <f t="shared" si="0"/>
        <v>22385.059999999998</v>
      </c>
      <c r="F30" s="36"/>
      <c r="G30" s="36"/>
    </row>
    <row r="31" spans="1:7" ht="15.75">
      <c r="A31" s="55">
        <v>26</v>
      </c>
      <c r="B31" s="56" t="s">
        <v>30</v>
      </c>
      <c r="C31" s="6">
        <v>3366.75</v>
      </c>
      <c r="D31" s="6">
        <v>8202.44</v>
      </c>
      <c r="E31" s="7">
        <f t="shared" si="0"/>
        <v>11569.19</v>
      </c>
      <c r="F31" s="36"/>
      <c r="G31" s="36"/>
    </row>
    <row r="32" spans="1:7" ht="15.75">
      <c r="A32" s="55">
        <v>27</v>
      </c>
      <c r="B32" s="56" t="s">
        <v>40</v>
      </c>
      <c r="C32" s="6">
        <v>347.43</v>
      </c>
      <c r="D32" s="6">
        <v>769.49</v>
      </c>
      <c r="E32" s="7">
        <f t="shared" si="0"/>
        <v>1116.92</v>
      </c>
      <c r="F32" s="36"/>
      <c r="G32" s="36"/>
    </row>
    <row r="33" spans="1:7" ht="15.75">
      <c r="A33" s="55">
        <v>28</v>
      </c>
      <c r="B33" s="56" t="s">
        <v>41</v>
      </c>
      <c r="C33" s="6">
        <f>3343.24+182.52+735.96+218.16</f>
        <v>4479.879999999999</v>
      </c>
      <c r="D33" s="6">
        <f>11036.21+922.13+4830.31+1531.63</f>
        <v>18320.28</v>
      </c>
      <c r="E33" s="7">
        <f t="shared" si="0"/>
        <v>22800.159999999996</v>
      </c>
      <c r="F33" s="36"/>
      <c r="G33" s="36"/>
    </row>
    <row r="34" spans="1:7" ht="15.75">
      <c r="A34" s="55">
        <v>29</v>
      </c>
      <c r="B34" s="56" t="s">
        <v>42</v>
      </c>
      <c r="C34" s="6">
        <v>15893.57</v>
      </c>
      <c r="D34" s="6">
        <v>29752.15</v>
      </c>
      <c r="E34" s="7">
        <f t="shared" si="0"/>
        <v>45645.72</v>
      </c>
      <c r="F34" s="36"/>
      <c r="G34" s="36"/>
    </row>
    <row r="35" spans="1:7" ht="15.75">
      <c r="A35" s="55">
        <v>30</v>
      </c>
      <c r="B35" s="56" t="s">
        <v>44</v>
      </c>
      <c r="C35" s="6">
        <v>1051.42</v>
      </c>
      <c r="D35" s="6">
        <v>505.63</v>
      </c>
      <c r="E35" s="7">
        <f t="shared" si="0"/>
        <v>1557.0500000000002</v>
      </c>
      <c r="F35" s="36"/>
      <c r="G35" s="36"/>
    </row>
    <row r="36" spans="1:7" ht="15.75">
      <c r="A36" s="55">
        <v>31</v>
      </c>
      <c r="B36" s="56" t="s">
        <v>45</v>
      </c>
      <c r="C36" s="6">
        <v>0</v>
      </c>
      <c r="D36" s="6">
        <v>0</v>
      </c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47</v>
      </c>
      <c r="C37" s="6">
        <v>0</v>
      </c>
      <c r="D37" s="6">
        <v>0</v>
      </c>
      <c r="E37" s="7">
        <f t="shared" si="0"/>
        <v>0</v>
      </c>
      <c r="F37" s="36"/>
      <c r="G37" s="36"/>
    </row>
    <row r="38" spans="1:7" ht="15.75">
      <c r="A38" s="55">
        <v>33</v>
      </c>
      <c r="B38" s="56" t="s">
        <v>60</v>
      </c>
      <c r="C38" s="6">
        <v>0</v>
      </c>
      <c r="D38" s="6">
        <v>0</v>
      </c>
      <c r="E38" s="7">
        <f t="shared" si="0"/>
        <v>0</v>
      </c>
      <c r="F38" s="36"/>
      <c r="G38" s="36"/>
    </row>
    <row r="39" spans="1:7" ht="15.75">
      <c r="A39" s="55">
        <v>34</v>
      </c>
      <c r="B39" s="56" t="s">
        <v>61</v>
      </c>
      <c r="C39" s="6">
        <v>680.75</v>
      </c>
      <c r="D39" s="6">
        <v>2305.9</v>
      </c>
      <c r="E39" s="7">
        <f t="shared" si="0"/>
        <v>2986.65</v>
      </c>
      <c r="F39" s="36"/>
      <c r="G39" s="36"/>
    </row>
    <row r="40" spans="1:7" ht="15.75">
      <c r="A40" s="55">
        <v>35</v>
      </c>
      <c r="B40" s="56" t="s">
        <v>71</v>
      </c>
      <c r="C40" s="6">
        <v>0</v>
      </c>
      <c r="D40" s="6">
        <v>0</v>
      </c>
      <c r="E40" s="7">
        <f t="shared" si="0"/>
        <v>0</v>
      </c>
      <c r="F40" s="36"/>
      <c r="G40" s="36"/>
    </row>
    <row r="41" spans="1:7" ht="15.75">
      <c r="A41" s="57"/>
      <c r="B41" s="57" t="s">
        <v>31</v>
      </c>
      <c r="C41" s="6">
        <f>SUM(C6:C40)</f>
        <v>239235.45999999996</v>
      </c>
      <c r="D41" s="6">
        <f>SUM(D6:D40)</f>
        <v>547486.5700000002</v>
      </c>
      <c r="E41" s="7">
        <f>SUM(E6:E40)</f>
        <v>786722.0300000001</v>
      </c>
      <c r="F41" s="36"/>
      <c r="G41" s="36"/>
    </row>
    <row r="42" spans="1:7" ht="14.25">
      <c r="A42" s="36"/>
      <c r="B42" s="36"/>
      <c r="C42" s="36"/>
      <c r="D42" s="36"/>
      <c r="E42" s="1"/>
      <c r="F42" s="36"/>
      <c r="G42" s="36"/>
    </row>
    <row r="43" spans="1:7" ht="14.25">
      <c r="A43" s="36"/>
      <c r="B43" s="36"/>
      <c r="C43" s="36"/>
      <c r="D43" s="36"/>
      <c r="E43" s="36"/>
      <c r="F43" s="36"/>
      <c r="G43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1"/>
  <sheetViews>
    <sheetView workbookViewId="0" topLeftCell="A4">
      <selection activeCell="G38" sqref="G38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77" t="s">
        <v>77</v>
      </c>
      <c r="B3" s="77"/>
      <c r="C3" s="77"/>
      <c r="D3" s="77"/>
      <c r="E3" s="77"/>
      <c r="F3" s="77"/>
    </row>
    <row r="4" spans="1:6" ht="15">
      <c r="A4" s="80"/>
      <c r="B4" s="80"/>
      <c r="C4" s="80"/>
      <c r="D4" s="80"/>
      <c r="E4" s="80"/>
      <c r="F4" s="36"/>
    </row>
    <row r="5" spans="1:6" ht="31.5">
      <c r="A5" s="50" t="s">
        <v>0</v>
      </c>
      <c r="B5" s="51" t="s">
        <v>1</v>
      </c>
      <c r="C5" s="51" t="s">
        <v>63</v>
      </c>
      <c r="D5" s="51" t="s">
        <v>64</v>
      </c>
      <c r="E5" s="36"/>
      <c r="F5" s="36"/>
    </row>
    <row r="6" spans="1:4" ht="15.75">
      <c r="A6" s="55">
        <v>1</v>
      </c>
      <c r="B6" s="56" t="s">
        <v>6</v>
      </c>
      <c r="C6" s="67">
        <v>12840</v>
      </c>
      <c r="D6" s="67">
        <v>720</v>
      </c>
    </row>
    <row r="7" spans="1:4" ht="15.75">
      <c r="A7" s="55">
        <v>2</v>
      </c>
      <c r="B7" s="56" t="s">
        <v>7</v>
      </c>
      <c r="C7" s="67">
        <v>2700</v>
      </c>
      <c r="D7" s="67"/>
    </row>
    <row r="8" spans="1:4" ht="15.75">
      <c r="A8" s="55">
        <v>3</v>
      </c>
      <c r="B8" s="56" t="s">
        <v>8</v>
      </c>
      <c r="C8" s="67">
        <v>240</v>
      </c>
      <c r="D8" s="67"/>
    </row>
    <row r="9" spans="1:4" ht="15.75">
      <c r="A9" s="55">
        <v>4</v>
      </c>
      <c r="B9" s="56" t="s">
        <v>9</v>
      </c>
      <c r="C9" s="67">
        <v>720</v>
      </c>
      <c r="D9" s="67"/>
    </row>
    <row r="10" spans="1:4" ht="15.75">
      <c r="A10" s="55">
        <v>5</v>
      </c>
      <c r="B10" s="56" t="s">
        <v>10</v>
      </c>
      <c r="C10" s="67">
        <v>4140</v>
      </c>
      <c r="D10" s="67"/>
    </row>
    <row r="11" spans="1:4" ht="15.75">
      <c r="A11" s="55">
        <v>6</v>
      </c>
      <c r="B11" s="56" t="s">
        <v>11</v>
      </c>
      <c r="C11" s="67">
        <v>11160</v>
      </c>
      <c r="D11" s="67"/>
    </row>
    <row r="12" spans="1:4" ht="15.75">
      <c r="A12" s="55">
        <v>7</v>
      </c>
      <c r="B12" s="56" t="s">
        <v>59</v>
      </c>
      <c r="C12" s="67">
        <v>5760</v>
      </c>
      <c r="D12" s="67"/>
    </row>
    <row r="13" spans="1:4" ht="15.75">
      <c r="A13" s="55">
        <v>8</v>
      </c>
      <c r="B13" s="56" t="s">
        <v>12</v>
      </c>
      <c r="C13" s="67">
        <v>14400</v>
      </c>
      <c r="D13" s="67">
        <v>2040</v>
      </c>
    </row>
    <row r="14" spans="1:4" ht="15.75">
      <c r="A14" s="55">
        <v>9</v>
      </c>
      <c r="B14" s="56" t="s">
        <v>13</v>
      </c>
      <c r="C14" s="67">
        <v>5772</v>
      </c>
      <c r="D14" s="67"/>
    </row>
    <row r="15" spans="1:4" ht="15.75">
      <c r="A15" s="55">
        <v>10</v>
      </c>
      <c r="B15" s="56" t="s">
        <v>14</v>
      </c>
      <c r="C15" s="67">
        <v>5520</v>
      </c>
      <c r="D15" s="67">
        <v>480</v>
      </c>
    </row>
    <row r="16" spans="1:4" ht="15.75">
      <c r="A16" s="55">
        <v>11</v>
      </c>
      <c r="B16" s="56" t="s">
        <v>15</v>
      </c>
      <c r="C16" s="67">
        <v>4560</v>
      </c>
      <c r="D16" s="67"/>
    </row>
    <row r="17" spans="1:4" ht="15.75">
      <c r="A17" s="55">
        <v>12</v>
      </c>
      <c r="B17" s="56" t="s">
        <v>16</v>
      </c>
      <c r="C17" s="67">
        <v>1920</v>
      </c>
      <c r="D17" s="67"/>
    </row>
    <row r="18" spans="1:4" ht="15.75">
      <c r="A18" s="55">
        <v>13</v>
      </c>
      <c r="B18" s="56" t="s">
        <v>17</v>
      </c>
      <c r="C18" s="67">
        <v>7080</v>
      </c>
      <c r="D18" s="67"/>
    </row>
    <row r="19" spans="1:4" ht="15.75">
      <c r="A19" s="55">
        <v>14</v>
      </c>
      <c r="B19" s="56" t="s">
        <v>18</v>
      </c>
      <c r="C19" s="67"/>
      <c r="D19" s="67"/>
    </row>
    <row r="20" spans="1:4" ht="15.75">
      <c r="A20" s="55">
        <v>15</v>
      </c>
      <c r="B20" s="56" t="s">
        <v>19</v>
      </c>
      <c r="C20" s="67"/>
      <c r="D20" s="67"/>
    </row>
    <row r="21" spans="1:4" ht="15.75">
      <c r="A21" s="55">
        <v>16</v>
      </c>
      <c r="B21" s="56" t="s">
        <v>20</v>
      </c>
      <c r="C21" s="67"/>
      <c r="D21" s="67"/>
    </row>
    <row r="22" spans="1:4" ht="15.75">
      <c r="A22" s="55">
        <v>17</v>
      </c>
      <c r="B22" s="56" t="s">
        <v>21</v>
      </c>
      <c r="C22" s="67">
        <v>4560</v>
      </c>
      <c r="D22" s="67"/>
    </row>
    <row r="23" spans="1:4" ht="15.75">
      <c r="A23" s="55">
        <v>18</v>
      </c>
      <c r="B23" s="56" t="s">
        <v>22</v>
      </c>
      <c r="C23" s="67">
        <v>3840</v>
      </c>
      <c r="D23" s="67"/>
    </row>
    <row r="24" spans="1:4" ht="15.75">
      <c r="A24" s="55">
        <v>19</v>
      </c>
      <c r="B24" s="56" t="s">
        <v>23</v>
      </c>
      <c r="C24" s="67">
        <v>360</v>
      </c>
      <c r="D24" s="67"/>
    </row>
    <row r="25" spans="1:4" ht="15.75">
      <c r="A25" s="55">
        <v>20</v>
      </c>
      <c r="B25" s="56" t="s">
        <v>24</v>
      </c>
      <c r="C25" s="67">
        <v>120</v>
      </c>
      <c r="D25" s="67"/>
    </row>
    <row r="26" spans="1:4" ht="15.75">
      <c r="A26" s="55">
        <v>21</v>
      </c>
      <c r="B26" s="56" t="s">
        <v>25</v>
      </c>
      <c r="C26" s="67">
        <v>4800</v>
      </c>
      <c r="D26" s="67">
        <v>480</v>
      </c>
    </row>
    <row r="27" spans="1:4" ht="15.75">
      <c r="A27" s="55">
        <v>22</v>
      </c>
      <c r="B27" s="56" t="s">
        <v>26</v>
      </c>
      <c r="C27" s="67">
        <v>2760</v>
      </c>
      <c r="D27" s="67">
        <v>1080</v>
      </c>
    </row>
    <row r="28" spans="1:4" ht="15.75">
      <c r="A28" s="55">
        <v>23</v>
      </c>
      <c r="B28" s="56" t="s">
        <v>27</v>
      </c>
      <c r="C28" s="67">
        <v>600</v>
      </c>
      <c r="D28" s="67"/>
    </row>
    <row r="29" spans="1:4" ht="15.75">
      <c r="A29" s="55">
        <v>24</v>
      </c>
      <c r="B29" s="56" t="s">
        <v>28</v>
      </c>
      <c r="C29" s="67"/>
      <c r="D29" s="67"/>
    </row>
    <row r="30" spans="1:4" ht="15.75">
      <c r="A30" s="55">
        <v>25</v>
      </c>
      <c r="B30" s="56" t="s">
        <v>29</v>
      </c>
      <c r="C30" s="67">
        <v>3828</v>
      </c>
      <c r="D30" s="67"/>
    </row>
    <row r="31" spans="1:4" ht="15.75">
      <c r="A31" s="55">
        <v>26</v>
      </c>
      <c r="B31" s="56" t="s">
        <v>30</v>
      </c>
      <c r="C31" s="67"/>
      <c r="D31" s="67"/>
    </row>
    <row r="32" spans="1:4" ht="15.75">
      <c r="A32" s="55">
        <v>27</v>
      </c>
      <c r="B32" s="56" t="s">
        <v>40</v>
      </c>
      <c r="C32" s="67">
        <v>120</v>
      </c>
      <c r="D32" s="67"/>
    </row>
    <row r="33" spans="1:4" ht="15.75">
      <c r="A33" s="55">
        <v>28</v>
      </c>
      <c r="B33" s="56" t="s">
        <v>41</v>
      </c>
      <c r="C33" s="67">
        <v>3480</v>
      </c>
      <c r="D33" s="67"/>
    </row>
    <row r="34" spans="1:4" ht="15.75">
      <c r="A34" s="55">
        <v>29</v>
      </c>
      <c r="B34" s="56" t="s">
        <v>42</v>
      </c>
      <c r="C34" s="67">
        <v>5160</v>
      </c>
      <c r="D34" s="67"/>
    </row>
    <row r="35" spans="1:4" ht="15.75">
      <c r="A35" s="55">
        <v>30</v>
      </c>
      <c r="B35" s="56" t="s">
        <v>44</v>
      </c>
      <c r="C35" s="67">
        <v>120</v>
      </c>
      <c r="D35" s="67"/>
    </row>
    <row r="36" spans="1:4" ht="15.75">
      <c r="A36" s="55">
        <v>31</v>
      </c>
      <c r="B36" s="56" t="s">
        <v>45</v>
      </c>
      <c r="C36" s="67"/>
      <c r="D36" s="67"/>
    </row>
    <row r="37" spans="1:4" ht="15.75">
      <c r="A37" s="55">
        <v>32</v>
      </c>
      <c r="B37" s="56" t="s">
        <v>47</v>
      </c>
      <c r="C37" s="67"/>
      <c r="D37" s="67"/>
    </row>
    <row r="38" spans="1:4" ht="15.75">
      <c r="A38" s="55">
        <v>33</v>
      </c>
      <c r="B38" s="56" t="s">
        <v>60</v>
      </c>
      <c r="C38" s="67"/>
      <c r="D38" s="67"/>
    </row>
    <row r="39" spans="1:4" ht="15.75">
      <c r="A39" s="55">
        <v>34</v>
      </c>
      <c r="B39" s="56" t="s">
        <v>61</v>
      </c>
      <c r="C39" s="67">
        <v>480</v>
      </c>
      <c r="D39" s="67"/>
    </row>
    <row r="40" spans="1:4" ht="15.75">
      <c r="A40" s="55">
        <v>35</v>
      </c>
      <c r="B40" s="56" t="s">
        <v>71</v>
      </c>
      <c r="C40" s="67"/>
      <c r="D40" s="67"/>
    </row>
    <row r="41" spans="1:4" ht="15.75">
      <c r="A41" s="57"/>
      <c r="B41" s="57" t="s">
        <v>31</v>
      </c>
      <c r="C41" s="68">
        <f>SUM(C6:C40)</f>
        <v>107040</v>
      </c>
      <c r="D41" s="68">
        <f>SUM(D6:D40)</f>
        <v>4800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1"/>
  <sheetViews>
    <sheetView view="pageBreakPreview" zoomScale="60" workbookViewId="0" topLeftCell="A1">
      <selection activeCell="G33" sqref="G33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78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66</v>
      </c>
      <c r="D5" s="36"/>
      <c r="E5" s="36"/>
    </row>
    <row r="6" spans="1:3" ht="15.75">
      <c r="A6" s="55">
        <v>1</v>
      </c>
      <c r="B6" s="56" t="s">
        <v>6</v>
      </c>
      <c r="C6" s="67">
        <v>21672.18</v>
      </c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>
        <v>65461.96</v>
      </c>
    </row>
    <row r="13" spans="1:3" ht="15.75">
      <c r="A13" s="55">
        <v>8</v>
      </c>
      <c r="B13" s="56" t="s">
        <v>12</v>
      </c>
      <c r="C13" s="67">
        <v>79910.83</v>
      </c>
    </row>
    <row r="14" spans="1:3" ht="15.75">
      <c r="A14" s="55">
        <v>9</v>
      </c>
      <c r="B14" s="56" t="s">
        <v>13</v>
      </c>
      <c r="C14" s="67">
        <v>26852.66</v>
      </c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/>
    </row>
    <row r="27" spans="1:3" ht="15.75">
      <c r="A27" s="55">
        <v>22</v>
      </c>
      <c r="B27" s="56" t="s">
        <v>26</v>
      </c>
      <c r="C27" s="67">
        <v>28279.57</v>
      </c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/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>
        <v>13426.33</v>
      </c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5">
        <v>35</v>
      </c>
      <c r="B40" s="56" t="s">
        <v>71</v>
      </c>
      <c r="C40" s="67"/>
    </row>
    <row r="41" spans="1:3" ht="15.75">
      <c r="A41" s="57"/>
      <c r="B41" s="57" t="s">
        <v>31</v>
      </c>
      <c r="C41" s="68">
        <f>SUM(C6:C40)</f>
        <v>235603.53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1"/>
  <sheetViews>
    <sheetView workbookViewId="0" topLeftCell="A1">
      <selection activeCell="C27" sqref="C27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81" t="s">
        <v>79</v>
      </c>
      <c r="B3" s="81"/>
      <c r="C3" s="81"/>
      <c r="D3" s="81"/>
      <c r="E3" s="81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69</v>
      </c>
      <c r="D5" s="36"/>
      <c r="E5" s="36"/>
    </row>
    <row r="6" spans="1:5" ht="15.75">
      <c r="A6" s="55">
        <v>1</v>
      </c>
      <c r="B6" s="56" t="s">
        <v>6</v>
      </c>
      <c r="C6" s="6">
        <v>108211.92</v>
      </c>
      <c r="D6" s="36"/>
      <c r="E6" s="36"/>
    </row>
    <row r="7" spans="1:5" ht="15.75">
      <c r="A7" s="55">
        <v>2</v>
      </c>
      <c r="B7" s="56" t="s">
        <v>7</v>
      </c>
      <c r="C7" s="6"/>
      <c r="D7" s="36"/>
      <c r="E7" s="36"/>
    </row>
    <row r="8" spans="1:3" ht="15.75">
      <c r="A8" s="55">
        <v>3</v>
      </c>
      <c r="B8" s="56" t="s">
        <v>8</v>
      </c>
      <c r="C8" s="67">
        <v>317.33</v>
      </c>
    </row>
    <row r="9" spans="1:3" ht="15.75">
      <c r="A9" s="55">
        <v>4</v>
      </c>
      <c r="B9" s="56" t="s">
        <v>9</v>
      </c>
      <c r="C9" s="67">
        <v>603.74</v>
      </c>
    </row>
    <row r="10" spans="1:3" ht="15.75">
      <c r="A10" s="55">
        <v>5</v>
      </c>
      <c r="B10" s="56" t="s">
        <v>10</v>
      </c>
      <c r="C10" s="67">
        <v>1020.45</v>
      </c>
    </row>
    <row r="11" spans="1:3" ht="15.75">
      <c r="A11" s="55">
        <v>6</v>
      </c>
      <c r="B11" s="56" t="s">
        <v>11</v>
      </c>
      <c r="C11" s="67">
        <v>736.03</v>
      </c>
    </row>
    <row r="12" spans="1:3" ht="15.75">
      <c r="A12" s="55">
        <v>7</v>
      </c>
      <c r="B12" s="56" t="s">
        <v>59</v>
      </c>
      <c r="C12" s="67">
        <v>2048.64</v>
      </c>
    </row>
    <row r="13" spans="1:3" ht="15.75">
      <c r="A13" s="55">
        <v>8</v>
      </c>
      <c r="B13" s="56" t="s">
        <v>12</v>
      </c>
      <c r="C13" s="67">
        <v>114807.8</v>
      </c>
    </row>
    <row r="14" spans="1:3" ht="15.75">
      <c r="A14" s="55">
        <v>9</v>
      </c>
      <c r="B14" s="56" t="s">
        <v>13</v>
      </c>
      <c r="C14" s="67">
        <v>373.26</v>
      </c>
    </row>
    <row r="15" spans="1:3" ht="15.75">
      <c r="A15" s="55">
        <v>10</v>
      </c>
      <c r="B15" s="56" t="s">
        <v>14</v>
      </c>
      <c r="C15" s="67">
        <v>17648.73</v>
      </c>
    </row>
    <row r="16" spans="1:3" ht="15.75">
      <c r="A16" s="55">
        <v>11</v>
      </c>
      <c r="B16" s="56" t="s">
        <v>15</v>
      </c>
      <c r="C16" s="67">
        <v>1530.49</v>
      </c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>
        <v>419.7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>
        <v>936.36</v>
      </c>
    </row>
    <row r="23" spans="1:3" ht="15.75">
      <c r="A23" s="55">
        <v>18</v>
      </c>
      <c r="B23" s="56" t="s">
        <v>22</v>
      </c>
      <c r="C23" s="67">
        <v>876.95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134700.5</v>
      </c>
    </row>
    <row r="27" spans="1:3" ht="15.75">
      <c r="A27" s="55">
        <v>22</v>
      </c>
      <c r="B27" s="56" t="s">
        <v>26</v>
      </c>
      <c r="C27" s="67">
        <v>1569.47</v>
      </c>
    </row>
    <row r="28" spans="1:3" ht="15.75">
      <c r="A28" s="55">
        <v>23</v>
      </c>
      <c r="B28" s="56" t="s">
        <v>27</v>
      </c>
      <c r="C28" s="67">
        <v>51.75</v>
      </c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42354.18</v>
      </c>
    </row>
    <row r="31" spans="1:3" ht="15.75">
      <c r="A31" s="55">
        <v>26</v>
      </c>
      <c r="B31" s="56" t="s">
        <v>30</v>
      </c>
      <c r="C31" s="67">
        <v>14573.03</v>
      </c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>
        <v>265.61</v>
      </c>
    </row>
    <row r="34" spans="1:3" ht="15.75">
      <c r="A34" s="55">
        <v>29</v>
      </c>
      <c r="B34" s="56" t="s">
        <v>42</v>
      </c>
      <c r="C34" s="67">
        <v>130.71</v>
      </c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>
        <v>275.62</v>
      </c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>
        <v>1123.14</v>
      </c>
    </row>
    <row r="40" spans="1:3" ht="15.75">
      <c r="A40" s="55">
        <v>35</v>
      </c>
      <c r="B40" s="56" t="s">
        <v>71</v>
      </c>
      <c r="C40" s="67"/>
    </row>
    <row r="41" spans="1:3" ht="15.75">
      <c r="A41" s="57"/>
      <c r="B41" s="57" t="s">
        <v>31</v>
      </c>
      <c r="C41" s="68">
        <f>SUM(C6:C40)</f>
        <v>444575.41000000003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41"/>
  <sheetViews>
    <sheetView workbookViewId="0" topLeftCell="A1">
      <selection activeCell="C10" sqref="C10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77" t="s">
        <v>80</v>
      </c>
      <c r="B3" s="77"/>
      <c r="C3" s="77"/>
      <c r="D3" s="77"/>
      <c r="E3" s="77"/>
      <c r="F3" s="77"/>
      <c r="G3" s="77"/>
    </row>
    <row r="4" spans="1:7" ht="14.25">
      <c r="A4" s="79"/>
      <c r="B4" s="79"/>
      <c r="C4" s="79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62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>
        <v>659.44</v>
      </c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/>
    </row>
    <row r="13" spans="1:3" ht="15.75">
      <c r="A13" s="55">
        <v>8</v>
      </c>
      <c r="B13" s="56" t="s">
        <v>12</v>
      </c>
      <c r="C13" s="67">
        <v>33064.47</v>
      </c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/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816.3</v>
      </c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5">
        <v>35</v>
      </c>
      <c r="B40" s="56" t="s">
        <v>71</v>
      </c>
      <c r="C40" s="67"/>
    </row>
    <row r="41" spans="1:3" ht="15.75">
      <c r="A41" s="57"/>
      <c r="B41" s="57" t="s">
        <v>31</v>
      </c>
      <c r="C41" s="68">
        <f>SUM(C6:C40)</f>
        <v>34540.21000000001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2020-07-20T09:01:39Z</cp:lastPrinted>
  <dcterms:created xsi:type="dcterms:W3CDTF">2011-06-30T06:54:46Z</dcterms:created>
  <dcterms:modified xsi:type="dcterms:W3CDTF">2021-02-22T07:34:33Z</dcterms:modified>
  <cp:category/>
  <cp:version/>
  <cp:contentType/>
  <cp:contentStatus/>
</cp:coreProperties>
</file>